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I Appendices\"/>
    </mc:Choice>
  </mc:AlternateContent>
  <bookViews>
    <workbookView xWindow="0" yWindow="0" windowWidth="19170" windowHeight="6960" tabRatio="738" activeTab="2"/>
  </bookViews>
  <sheets>
    <sheet name="1. MTR Counts, Size-Age-OPTIONS" sheetId="8" r:id="rId1"/>
    <sheet name="2. Meter Install Forecast-Est's" sheetId="4" r:id="rId2"/>
    <sheet name="3. Pilot+48 Mo FSWD Deploy Plan" sheetId="5" r:id="rId3"/>
    <sheet name="4. Pilot + 48 Mo. FSWD Graphs" sheetId="7" r:id="rId4"/>
  </sheets>
  <definedNames>
    <definedName name="_xlnm.Print_Area" localSheetId="1">'2. Meter Install Forecast-Est''s'!$A$1:$P$31</definedName>
    <definedName name="_xlnm.Print_Area" localSheetId="3">'4. Pilot + 48 Mo. FSWD Graphs'!$A$1:$M$45</definedName>
    <definedName name="_xlnm.Print_Titles" localSheetId="0">'1. MTR Counts, Size-Age-OPTIONS'!$35:$36</definedName>
    <definedName name="_xlnm.Print_Titles" localSheetId="2">'3. Pilot+48 Mo FSWD Deploy Plan'!$8:$9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8" l="1"/>
  <c r="O44" i="8"/>
  <c r="O93" i="8"/>
  <c r="O94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2" i="8"/>
  <c r="O41" i="8"/>
  <c r="O40" i="8"/>
  <c r="O39" i="8"/>
  <c r="O38" i="8"/>
  <c r="O37" i="8"/>
  <c r="O32" i="8"/>
  <c r="O28" i="8"/>
  <c r="O21" i="8"/>
  <c r="O14" i="8"/>
  <c r="O8" i="8"/>
  <c r="O7" i="8"/>
  <c r="O6" i="8"/>
  <c r="M93" i="8" l="1"/>
  <c r="L93" i="8"/>
  <c r="L8" i="8" s="1"/>
  <c r="K93" i="8"/>
  <c r="K94" i="8" s="1"/>
  <c r="J93" i="8"/>
  <c r="J28" i="8" s="1"/>
  <c r="I93" i="8"/>
  <c r="H93" i="8"/>
  <c r="H8" i="8" s="1"/>
  <c r="G93" i="8"/>
  <c r="G94" i="8" s="1"/>
  <c r="F93" i="8"/>
  <c r="F28" i="8" s="1"/>
  <c r="E93" i="8"/>
  <c r="E8" i="8" s="1"/>
  <c r="D93" i="8"/>
  <c r="D28" i="8" s="1"/>
  <c r="N92" i="8"/>
  <c r="M8" i="8"/>
  <c r="I8" i="8"/>
  <c r="M19" i="4"/>
  <c r="M18" i="4"/>
  <c r="K19" i="4"/>
  <c r="J19" i="4"/>
  <c r="I19" i="4"/>
  <c r="H19" i="4"/>
  <c r="K18" i="4"/>
  <c r="J18" i="4"/>
  <c r="I18" i="4"/>
  <c r="H18" i="4"/>
  <c r="G19" i="4"/>
  <c r="F19" i="4"/>
  <c r="G18" i="4"/>
  <c r="F18" i="4"/>
  <c r="D19" i="4"/>
  <c r="D18" i="4"/>
  <c r="D17" i="4"/>
  <c r="M27" i="8"/>
  <c r="L27" i="8"/>
  <c r="K27" i="8"/>
  <c r="J27" i="8"/>
  <c r="I27" i="8"/>
  <c r="H27" i="8"/>
  <c r="G27" i="8"/>
  <c r="F27" i="8"/>
  <c r="E27" i="8"/>
  <c r="D27" i="8"/>
  <c r="M20" i="8"/>
  <c r="L20" i="8"/>
  <c r="K20" i="8"/>
  <c r="J20" i="8"/>
  <c r="I20" i="8"/>
  <c r="H20" i="8"/>
  <c r="G20" i="8"/>
  <c r="F20" i="8"/>
  <c r="E20" i="8"/>
  <c r="D20" i="8"/>
  <c r="M7" i="8"/>
  <c r="L7" i="8"/>
  <c r="K7" i="8"/>
  <c r="J7" i="8"/>
  <c r="I7" i="8"/>
  <c r="H7" i="8"/>
  <c r="G7" i="8"/>
  <c r="F7" i="8"/>
  <c r="E7" i="8"/>
  <c r="D7" i="8"/>
  <c r="C39" i="8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L94" i="8" l="1"/>
  <c r="F14" i="8"/>
  <c r="F32" i="8"/>
  <c r="F19" i="8"/>
  <c r="F6" i="8"/>
  <c r="J6" i="8"/>
  <c r="J19" i="8"/>
  <c r="J14" i="8"/>
  <c r="J32" i="8"/>
  <c r="F26" i="8"/>
  <c r="J8" i="8"/>
  <c r="J26" i="8"/>
  <c r="K6" i="8"/>
  <c r="G19" i="8"/>
  <c r="K19" i="8"/>
  <c r="D26" i="8"/>
  <c r="H26" i="8"/>
  <c r="L26" i="8"/>
  <c r="D14" i="8"/>
  <c r="H14" i="8"/>
  <c r="L14" i="8"/>
  <c r="E21" i="8"/>
  <c r="I21" i="8"/>
  <c r="M21" i="8"/>
  <c r="G32" i="8"/>
  <c r="K32" i="8"/>
  <c r="F8" i="8"/>
  <c r="D19" i="8"/>
  <c r="H19" i="8"/>
  <c r="L19" i="8"/>
  <c r="E26" i="8"/>
  <c r="I26" i="8"/>
  <c r="M26" i="8"/>
  <c r="E14" i="8"/>
  <c r="I14" i="8"/>
  <c r="M14" i="8"/>
  <c r="F21" i="8"/>
  <c r="J21" i="8"/>
  <c r="G28" i="8"/>
  <c r="K28" i="8"/>
  <c r="D32" i="8"/>
  <c r="H32" i="8"/>
  <c r="L32" i="8"/>
  <c r="D94" i="8"/>
  <c r="E19" i="8"/>
  <c r="I19" i="8"/>
  <c r="M19" i="8"/>
  <c r="G21" i="8"/>
  <c r="K21" i="8"/>
  <c r="H28" i="8"/>
  <c r="L28" i="8"/>
  <c r="E32" i="8"/>
  <c r="I32" i="8"/>
  <c r="M32" i="8"/>
  <c r="N93" i="8"/>
  <c r="H94" i="8"/>
  <c r="G6" i="8"/>
  <c r="G26" i="8"/>
  <c r="K26" i="8"/>
  <c r="G14" i="8"/>
  <c r="K14" i="8"/>
  <c r="D21" i="8"/>
  <c r="H21" i="8"/>
  <c r="L21" i="8"/>
  <c r="E28" i="8"/>
  <c r="I28" i="8"/>
  <c r="M28" i="8"/>
  <c r="N6" i="8"/>
  <c r="E94" i="8"/>
  <c r="I94" i="8"/>
  <c r="M94" i="8"/>
  <c r="G8" i="8"/>
  <c r="K8" i="8"/>
  <c r="D6" i="8"/>
  <c r="H6" i="8"/>
  <c r="L6" i="8"/>
  <c r="F94" i="8"/>
  <c r="J94" i="8"/>
  <c r="D8" i="8"/>
  <c r="E6" i="8"/>
  <c r="I6" i="8"/>
  <c r="M6" i="8"/>
  <c r="N20" i="8"/>
  <c r="N27" i="8"/>
  <c r="N7" i="8"/>
  <c r="N32" i="8" l="1"/>
  <c r="N94" i="8"/>
  <c r="N19" i="8"/>
  <c r="N14" i="8"/>
  <c r="N26" i="8"/>
  <c r="N21" i="8"/>
  <c r="N28" i="8"/>
  <c r="N8" i="8"/>
  <c r="F16" i="4"/>
  <c r="G16" i="4" s="1"/>
  <c r="H16" i="4" s="1"/>
  <c r="I16" i="4" s="1"/>
  <c r="J16" i="4" s="1"/>
  <c r="K16" i="4" s="1"/>
  <c r="F15" i="4"/>
  <c r="G15" i="4" s="1"/>
  <c r="H15" i="4" s="1"/>
  <c r="I15" i="4" s="1"/>
  <c r="J15" i="4" s="1"/>
  <c r="K15" i="4" s="1"/>
  <c r="F14" i="4"/>
  <c r="G14" i="4" s="1"/>
  <c r="H14" i="4" s="1"/>
  <c r="I14" i="4" s="1"/>
  <c r="J14" i="4" s="1"/>
  <c r="K14" i="4" s="1"/>
  <c r="F13" i="4"/>
  <c r="G13" i="4" s="1"/>
  <c r="H13" i="4" s="1"/>
  <c r="I13" i="4" s="1"/>
  <c r="J13" i="4" s="1"/>
  <c r="K13" i="4" s="1"/>
  <c r="F12" i="4"/>
  <c r="G12" i="4" s="1"/>
  <c r="H12" i="4" s="1"/>
  <c r="I12" i="4" s="1"/>
  <c r="J12" i="4" s="1"/>
  <c r="K12" i="4" s="1"/>
  <c r="F11" i="4"/>
  <c r="G11" i="4" s="1"/>
  <c r="H11" i="4" s="1"/>
  <c r="I11" i="4" s="1"/>
  <c r="J11" i="4" s="1"/>
  <c r="K11" i="4" s="1"/>
  <c r="F10" i="4"/>
  <c r="G10" i="4" s="1"/>
  <c r="H10" i="4" s="1"/>
  <c r="I10" i="4" s="1"/>
  <c r="J10" i="4" s="1"/>
  <c r="K10" i="4" s="1"/>
  <c r="L24" i="4" l="1"/>
  <c r="F17" i="4" l="1"/>
  <c r="G17" i="4" s="1"/>
  <c r="H17" i="4" s="1"/>
  <c r="I17" i="4" s="1"/>
  <c r="J17" i="4" s="1"/>
  <c r="K17" i="4" s="1"/>
  <c r="L14" i="4" l="1"/>
  <c r="Y77" i="5"/>
  <c r="Y65" i="5"/>
  <c r="Y53" i="5"/>
  <c r="Y41" i="5"/>
  <c r="Y29" i="5"/>
  <c r="O79" i="5"/>
  <c r="O78" i="5"/>
  <c r="O77" i="5"/>
  <c r="O76" i="5"/>
  <c r="O75" i="5"/>
  <c r="I79" i="5"/>
  <c r="I78" i="5"/>
  <c r="I77" i="5"/>
  <c r="I76" i="5"/>
  <c r="I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L11" i="4"/>
  <c r="D20" i="4"/>
  <c r="F20" i="4" s="1"/>
  <c r="G20" i="4" s="1"/>
  <c r="H20" i="4" s="1"/>
  <c r="I20" i="4" s="1"/>
  <c r="J20" i="4" s="1"/>
  <c r="K20" i="4" s="1"/>
  <c r="C21" i="4"/>
  <c r="L13" i="4" l="1"/>
  <c r="M15" i="4"/>
  <c r="M20" i="4"/>
  <c r="M16" i="4"/>
  <c r="L12" i="4"/>
  <c r="M17" i="4"/>
  <c r="L10" i="4"/>
  <c r="H21" i="4"/>
  <c r="G21" i="4"/>
  <c r="Y30" i="5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F21" i="4"/>
  <c r="D21" i="4"/>
  <c r="M21" i="4" l="1"/>
  <c r="L21" i="4"/>
  <c r="K21" i="4"/>
  <c r="J21" i="4"/>
  <c r="I21" i="4"/>
  <c r="Y42" i="5"/>
  <c r="Y43" i="5" s="1"/>
  <c r="Y44" i="5" s="1"/>
  <c r="Y45" i="5" s="1"/>
  <c r="Y46" i="5" s="1"/>
  <c r="Y47" i="5" s="1"/>
  <c r="Y48" i="5" s="1"/>
  <c r="Y49" i="5" s="1"/>
  <c r="Y50" i="5" s="1"/>
  <c r="Y51" i="5" s="1"/>
  <c r="Y52" i="5" s="1"/>
  <c r="F5" i="5" l="1"/>
  <c r="F4" i="5"/>
  <c r="F6" i="5"/>
  <c r="Y54" i="5"/>
  <c r="Y55" i="5" s="1"/>
  <c r="Y56" i="5" s="1"/>
  <c r="Y57" i="5" s="1"/>
  <c r="Y58" i="5" s="1"/>
  <c r="Y59" i="5" s="1"/>
  <c r="Y60" i="5" s="1"/>
  <c r="Y61" i="5" s="1"/>
  <c r="Y62" i="5" s="1"/>
  <c r="Y63" i="5" s="1"/>
  <c r="Y64" i="5" s="1"/>
  <c r="Y66" i="5" l="1"/>
  <c r="Y67" i="5" s="1"/>
  <c r="Y68" i="5" s="1"/>
  <c r="Y69" i="5" s="1"/>
  <c r="Y70" i="5" s="1"/>
  <c r="Y71" i="5" s="1"/>
  <c r="Y72" i="5" s="1"/>
  <c r="Y73" i="5" s="1"/>
  <c r="Y74" i="5" s="1"/>
  <c r="Y75" i="5" s="1"/>
  <c r="Y76" i="5" s="1"/>
  <c r="Y78" i="5" l="1"/>
  <c r="Y79" i="5" s="1"/>
  <c r="S76" i="5" l="1"/>
  <c r="F28" i="5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12" i="5"/>
  <c r="F13" i="5" s="1"/>
  <c r="F14" i="5" s="1"/>
  <c r="E23" i="5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11" i="5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S79" i="5"/>
  <c r="S78" i="5"/>
  <c r="I74" i="5"/>
  <c r="I73" i="5"/>
  <c r="U73" i="5" s="1"/>
  <c r="I72" i="5"/>
  <c r="I71" i="5"/>
  <c r="I70" i="5"/>
  <c r="I69" i="5"/>
  <c r="U69" i="5" s="1"/>
  <c r="I68" i="5"/>
  <c r="U68" i="5" s="1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U53" i="5" s="1"/>
  <c r="I52" i="5"/>
  <c r="U52" i="5" s="1"/>
  <c r="I51" i="5"/>
  <c r="I50" i="5"/>
  <c r="I49" i="5"/>
  <c r="I48" i="5"/>
  <c r="I47" i="5"/>
  <c r="I46" i="5"/>
  <c r="I45" i="5"/>
  <c r="U45" i="5" s="1"/>
  <c r="I44" i="5"/>
  <c r="I43" i="5"/>
  <c r="U43" i="5" s="1"/>
  <c r="I42" i="5"/>
  <c r="I41" i="5"/>
  <c r="I40" i="5"/>
  <c r="I39" i="5"/>
  <c r="I38" i="5"/>
  <c r="I37" i="5"/>
  <c r="U37" i="5" s="1"/>
  <c r="I36" i="5"/>
  <c r="I35" i="5"/>
  <c r="I34" i="5"/>
  <c r="I33" i="5"/>
  <c r="I32" i="5"/>
  <c r="S32" i="5" s="1"/>
  <c r="I31" i="5"/>
  <c r="I30" i="5"/>
  <c r="S30" i="5" s="1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J14" i="5"/>
  <c r="J13" i="5"/>
  <c r="J12" i="5"/>
  <c r="T15" i="5"/>
  <c r="S15" i="5"/>
  <c r="O15" i="5"/>
  <c r="T14" i="5"/>
  <c r="S14" i="5"/>
  <c r="U14" i="5"/>
  <c r="T13" i="5"/>
  <c r="S13" i="5"/>
  <c r="U13" i="5"/>
  <c r="U79" i="5"/>
  <c r="T79" i="5"/>
  <c r="U78" i="5"/>
  <c r="T78" i="5"/>
  <c r="U77" i="5"/>
  <c r="T77" i="5"/>
  <c r="T76" i="5"/>
  <c r="T75" i="5"/>
  <c r="S75" i="5"/>
  <c r="U75" i="5"/>
  <c r="U74" i="5"/>
  <c r="T74" i="5"/>
  <c r="T73" i="5"/>
  <c r="V73" i="5"/>
  <c r="T72" i="5"/>
  <c r="V72" i="5"/>
  <c r="T71" i="5"/>
  <c r="V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V49" i="5"/>
  <c r="T48" i="5"/>
  <c r="V48" i="5"/>
  <c r="T47" i="5"/>
  <c r="V47" i="5"/>
  <c r="T46" i="5"/>
  <c r="T45" i="5"/>
  <c r="T44" i="5"/>
  <c r="T43" i="5"/>
  <c r="T42" i="5"/>
  <c r="T41" i="5"/>
  <c r="T40" i="5"/>
  <c r="T39" i="5"/>
  <c r="T38" i="5"/>
  <c r="T37" i="5"/>
  <c r="V37" i="5"/>
  <c r="T36" i="5"/>
  <c r="V36" i="5"/>
  <c r="T35" i="5"/>
  <c r="V35" i="5"/>
  <c r="T34" i="5"/>
  <c r="T33" i="5"/>
  <c r="T32" i="5"/>
  <c r="T31" i="5"/>
  <c r="U31" i="5"/>
  <c r="T30" i="5"/>
  <c r="T29" i="5"/>
  <c r="S29" i="5"/>
  <c r="D11" i="5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S73" i="5" l="1"/>
  <c r="S77" i="5"/>
  <c r="S71" i="5"/>
  <c r="S74" i="5"/>
  <c r="U72" i="5"/>
  <c r="S72" i="5"/>
  <c r="S70" i="5"/>
  <c r="U58" i="5"/>
  <c r="U30" i="5"/>
  <c r="S39" i="5"/>
  <c r="S51" i="5"/>
  <c r="S59" i="5"/>
  <c r="U36" i="5"/>
  <c r="S36" i="5"/>
  <c r="S40" i="5"/>
  <c r="U44" i="5"/>
  <c r="S44" i="5"/>
  <c r="U48" i="5"/>
  <c r="S48" i="5"/>
  <c r="S52" i="5"/>
  <c r="U56" i="5"/>
  <c r="S56" i="5"/>
  <c r="S60" i="5"/>
  <c r="S64" i="5"/>
  <c r="S68" i="5"/>
  <c r="S35" i="5"/>
  <c r="S43" i="5"/>
  <c r="S55" i="5"/>
  <c r="S63" i="5"/>
  <c r="S67" i="5"/>
  <c r="U67" i="5"/>
  <c r="S37" i="5"/>
  <c r="U41" i="5"/>
  <c r="S41" i="5"/>
  <c r="S45" i="5"/>
  <c r="U49" i="5"/>
  <c r="S49" i="5"/>
  <c r="S53" i="5"/>
  <c r="S57" i="5"/>
  <c r="S61" i="5"/>
  <c r="U65" i="5"/>
  <c r="S65" i="5"/>
  <c r="S69" i="5"/>
  <c r="S47" i="5"/>
  <c r="S38" i="5"/>
  <c r="S42" i="5"/>
  <c r="S46" i="5"/>
  <c r="S50" i="5"/>
  <c r="S54" i="5"/>
  <c r="S58" i="5"/>
  <c r="S62" i="5"/>
  <c r="S66" i="5"/>
  <c r="S34" i="5"/>
  <c r="S33" i="5"/>
  <c r="S31" i="5"/>
  <c r="U46" i="5"/>
  <c r="U62" i="5"/>
  <c r="U70" i="5"/>
  <c r="U38" i="5"/>
  <c r="U42" i="5"/>
  <c r="U50" i="5"/>
  <c r="U66" i="5"/>
  <c r="U54" i="5"/>
  <c r="U34" i="5"/>
  <c r="U35" i="5"/>
  <c r="U55" i="5"/>
  <c r="U51" i="5"/>
  <c r="U63" i="5"/>
  <c r="U39" i="5"/>
  <c r="U71" i="5"/>
  <c r="U47" i="5"/>
  <c r="U59" i="5"/>
  <c r="U76" i="5"/>
  <c r="U29" i="5"/>
  <c r="U33" i="5"/>
  <c r="U40" i="5"/>
  <c r="U57" i="5"/>
  <c r="U61" i="5"/>
  <c r="U32" i="5"/>
  <c r="U60" i="5"/>
  <c r="U64" i="5"/>
  <c r="V13" i="5"/>
  <c r="V14" i="5"/>
  <c r="P15" i="5"/>
  <c r="V77" i="5"/>
  <c r="V78" i="5"/>
  <c r="V79" i="5"/>
  <c r="V75" i="5"/>
  <c r="V65" i="5"/>
  <c r="V66" i="5"/>
  <c r="V67" i="5"/>
  <c r="V68" i="5"/>
  <c r="V70" i="5"/>
  <c r="V74" i="5"/>
  <c r="V60" i="5"/>
  <c r="V64" i="5"/>
  <c r="V53" i="5"/>
  <c r="V54" i="5"/>
  <c r="V55" i="5"/>
  <c r="V56" i="5"/>
  <c r="V57" i="5"/>
  <c r="V58" i="5"/>
  <c r="V61" i="5"/>
  <c r="V62" i="5"/>
  <c r="V41" i="5"/>
  <c r="V42" i="5"/>
  <c r="V43" i="5"/>
  <c r="V44" i="5"/>
  <c r="V46" i="5"/>
  <c r="V50" i="5"/>
  <c r="V31" i="5"/>
  <c r="V30" i="5"/>
  <c r="V39" i="5"/>
  <c r="V33" i="5"/>
  <c r="V34" i="5"/>
  <c r="V38" i="5"/>
  <c r="O26" i="5"/>
  <c r="O25" i="5"/>
  <c r="O24" i="5"/>
  <c r="O23" i="5"/>
  <c r="O22" i="5"/>
  <c r="O21" i="5"/>
  <c r="O20" i="5"/>
  <c r="O19" i="5"/>
  <c r="O18" i="5"/>
  <c r="O17" i="5"/>
  <c r="O16" i="5"/>
  <c r="V69" i="5" l="1"/>
  <c r="V76" i="5"/>
  <c r="V63" i="5"/>
  <c r="V59" i="5"/>
  <c r="V45" i="5"/>
  <c r="V52" i="5"/>
  <c r="V51" i="5"/>
  <c r="V32" i="5"/>
  <c r="V29" i="5"/>
  <c r="V40" i="5"/>
  <c r="T28" i="5"/>
  <c r="S28" i="5"/>
  <c r="T27" i="5"/>
  <c r="S27" i="5"/>
  <c r="U27" i="5"/>
  <c r="T26" i="5"/>
  <c r="S26" i="5"/>
  <c r="P26" i="5"/>
  <c r="U26" i="5"/>
  <c r="T25" i="5"/>
  <c r="S25" i="5"/>
  <c r="P25" i="5"/>
  <c r="T24" i="5"/>
  <c r="S24" i="5"/>
  <c r="P24" i="5"/>
  <c r="U24" i="5"/>
  <c r="T23" i="5"/>
  <c r="S23" i="5"/>
  <c r="P23" i="5"/>
  <c r="T22" i="5"/>
  <c r="S22" i="5"/>
  <c r="P22" i="5"/>
  <c r="T21" i="5"/>
  <c r="S21" i="5"/>
  <c r="P21" i="5"/>
  <c r="U21" i="5"/>
  <c r="T20" i="5"/>
  <c r="S20" i="5"/>
  <c r="P20" i="5"/>
  <c r="U20" i="5"/>
  <c r="T19" i="5"/>
  <c r="S19" i="5"/>
  <c r="P19" i="5"/>
  <c r="T18" i="5"/>
  <c r="S18" i="5"/>
  <c r="P18" i="5"/>
  <c r="U18" i="5"/>
  <c r="T17" i="5"/>
  <c r="S17" i="5"/>
  <c r="P17" i="5"/>
  <c r="Y17" i="5" s="1"/>
  <c r="T16" i="5"/>
  <c r="S16" i="5"/>
  <c r="P16" i="5"/>
  <c r="U16" i="5"/>
  <c r="T12" i="5"/>
  <c r="S12" i="5"/>
  <c r="T11" i="5"/>
  <c r="S11" i="5"/>
  <c r="U11" i="5"/>
  <c r="T10" i="5"/>
  <c r="S10" i="5"/>
  <c r="Q10" i="5"/>
  <c r="U10" i="5"/>
  <c r="Q11" i="5" l="1"/>
  <c r="Q12" i="5" s="1"/>
  <c r="V11" i="5"/>
  <c r="V17" i="5"/>
  <c r="V19" i="5"/>
  <c r="V23" i="5"/>
  <c r="V25" i="5"/>
  <c r="V12" i="5"/>
  <c r="V22" i="5"/>
  <c r="V28" i="5"/>
  <c r="U12" i="5"/>
  <c r="V16" i="5"/>
  <c r="U17" i="5"/>
  <c r="V18" i="5"/>
  <c r="U19" i="5"/>
  <c r="V20" i="5"/>
  <c r="V21" i="5"/>
  <c r="U22" i="5"/>
  <c r="U23" i="5"/>
  <c r="V24" i="5"/>
  <c r="U25" i="5"/>
  <c r="V26" i="5"/>
  <c r="V27" i="5"/>
  <c r="U28" i="5"/>
  <c r="Q13" i="5" l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K10" i="5"/>
  <c r="Y10" i="5"/>
  <c r="Y11" i="5" s="1"/>
  <c r="Y12" i="5" s="1"/>
  <c r="Y13" i="5" s="1"/>
  <c r="Y14" i="5" s="1"/>
  <c r="Y15" i="5" s="1"/>
  <c r="Y16" i="5" s="1"/>
  <c r="V10" i="5"/>
  <c r="Y18" i="5" l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89" i="5" s="1"/>
  <c r="Q31" i="5"/>
  <c r="Q32" i="5" s="1"/>
  <c r="Q33" i="5" s="1"/>
  <c r="W10" i="5"/>
  <c r="K11" i="5"/>
  <c r="Q34" i="5" l="1"/>
  <c r="W11" i="5"/>
  <c r="K12" i="5"/>
  <c r="K13" i="5" s="1"/>
  <c r="W13" i="5" l="1"/>
  <c r="K14" i="5"/>
  <c r="Q35" i="5"/>
  <c r="W12" i="5"/>
  <c r="W14" i="5" l="1"/>
  <c r="Q36" i="5"/>
  <c r="Q37" i="5" l="1"/>
  <c r="Q38" i="5" l="1"/>
  <c r="Q39" i="5" l="1"/>
  <c r="Q40" i="5" l="1"/>
  <c r="Q41" i="5" l="1"/>
  <c r="Q42" i="5" l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U15" i="5"/>
  <c r="V15" i="5"/>
  <c r="K15" i="5" l="1"/>
  <c r="K16" i="5" l="1"/>
  <c r="W15" i="5"/>
  <c r="W16" i="5" l="1"/>
  <c r="K17" i="5"/>
  <c r="K18" i="5" l="1"/>
  <c r="W17" i="5"/>
  <c r="W18" i="5" l="1"/>
  <c r="K19" i="5"/>
  <c r="K20" i="5" l="1"/>
  <c r="W19" i="5"/>
  <c r="W20" i="5" l="1"/>
  <c r="K21" i="5"/>
  <c r="K22" i="5" l="1"/>
  <c r="W21" i="5"/>
  <c r="W22" i="5" l="1"/>
  <c r="K23" i="5"/>
  <c r="K24" i="5" l="1"/>
  <c r="W23" i="5"/>
  <c r="W24" i="5" l="1"/>
  <c r="K25" i="5"/>
  <c r="K26" i="5" l="1"/>
  <c r="W25" i="5"/>
  <c r="W26" i="5" l="1"/>
  <c r="K27" i="5"/>
  <c r="W27" i="5" l="1"/>
  <c r="K28" i="5"/>
  <c r="W28" i="5" l="1"/>
  <c r="K29" i="5"/>
  <c r="W29" i="5" l="1"/>
  <c r="K30" i="5"/>
  <c r="W30" i="5" l="1"/>
  <c r="K31" i="5"/>
  <c r="K32" i="5" l="1"/>
  <c r="W31" i="5"/>
  <c r="W32" i="5" l="1"/>
  <c r="K33" i="5"/>
  <c r="K34" i="5" l="1"/>
  <c r="W33" i="5"/>
  <c r="W34" i="5" l="1"/>
  <c r="K35" i="5"/>
  <c r="K36" i="5" l="1"/>
  <c r="W35" i="5"/>
  <c r="W36" i="5" l="1"/>
  <c r="K37" i="5"/>
  <c r="K38" i="5" l="1"/>
  <c r="W37" i="5"/>
  <c r="W38" i="5" l="1"/>
  <c r="K39" i="5"/>
  <c r="K40" i="5" l="1"/>
  <c r="W39" i="5"/>
  <c r="W40" i="5" l="1"/>
  <c r="K41" i="5"/>
  <c r="K42" i="5" l="1"/>
  <c r="W41" i="5"/>
  <c r="W42" i="5" l="1"/>
  <c r="K43" i="5"/>
  <c r="K44" i="5" l="1"/>
  <c r="W43" i="5"/>
  <c r="W44" i="5" l="1"/>
  <c r="K45" i="5"/>
  <c r="K46" i="5" l="1"/>
  <c r="W45" i="5"/>
  <c r="W46" i="5" l="1"/>
  <c r="K47" i="5"/>
  <c r="K48" i="5" l="1"/>
  <c r="W47" i="5"/>
  <c r="W48" i="5" l="1"/>
  <c r="K49" i="5"/>
  <c r="K50" i="5" l="1"/>
  <c r="W49" i="5"/>
  <c r="W50" i="5" l="1"/>
  <c r="K51" i="5"/>
  <c r="K52" i="5" l="1"/>
  <c r="W51" i="5"/>
  <c r="W52" i="5" l="1"/>
  <c r="K53" i="5"/>
  <c r="K54" i="5" l="1"/>
  <c r="W53" i="5"/>
  <c r="W54" i="5" l="1"/>
  <c r="K55" i="5"/>
  <c r="K56" i="5" l="1"/>
  <c r="W55" i="5"/>
  <c r="W56" i="5" l="1"/>
  <c r="K57" i="5"/>
  <c r="K58" i="5" l="1"/>
  <c r="W57" i="5"/>
  <c r="W58" i="5" l="1"/>
  <c r="K59" i="5"/>
  <c r="K60" i="5" l="1"/>
  <c r="W59" i="5"/>
  <c r="W60" i="5" l="1"/>
  <c r="K61" i="5"/>
  <c r="K62" i="5" l="1"/>
  <c r="W61" i="5"/>
  <c r="W62" i="5" l="1"/>
  <c r="K63" i="5"/>
  <c r="K64" i="5" l="1"/>
  <c r="W63" i="5"/>
  <c r="W64" i="5" l="1"/>
  <c r="K65" i="5"/>
  <c r="K66" i="5" l="1"/>
  <c r="W65" i="5"/>
  <c r="W66" i="5" l="1"/>
  <c r="K67" i="5"/>
  <c r="K68" i="5" l="1"/>
  <c r="W67" i="5"/>
  <c r="W68" i="5" l="1"/>
  <c r="K69" i="5"/>
  <c r="K70" i="5" l="1"/>
  <c r="W69" i="5"/>
  <c r="W70" i="5" l="1"/>
  <c r="K71" i="5"/>
  <c r="K72" i="5" l="1"/>
  <c r="W71" i="5"/>
  <c r="W72" i="5" l="1"/>
  <c r="K73" i="5"/>
  <c r="K74" i="5" l="1"/>
  <c r="W73" i="5"/>
  <c r="W74" i="5" l="1"/>
  <c r="K75" i="5"/>
  <c r="K76" i="5" l="1"/>
  <c r="W75" i="5"/>
  <c r="W76" i="5" l="1"/>
  <c r="K77" i="5"/>
  <c r="W77" i="5" l="1"/>
  <c r="K78" i="5"/>
  <c r="W78" i="5" l="1"/>
  <c r="K79" i="5"/>
  <c r="W79" i="5" l="1"/>
  <c r="K80" i="5"/>
  <c r="W80" i="5" l="1"/>
  <c r="K81" i="5"/>
  <c r="W81" i="5" l="1"/>
  <c r="K82" i="5"/>
  <c r="W82" i="5" l="1"/>
  <c r="K83" i="5"/>
  <c r="W83" i="5" l="1"/>
  <c r="K84" i="5"/>
  <c r="W84" i="5" l="1"/>
  <c r="K85" i="5"/>
  <c r="W85" i="5" l="1"/>
  <c r="K86" i="5"/>
  <c r="W86" i="5" l="1"/>
  <c r="K87" i="5"/>
  <c r="K88" i="5" l="1"/>
  <c r="W88" i="5" s="1"/>
  <c r="W87" i="5"/>
  <c r="Z40" i="5" l="1"/>
  <c r="Z52" i="5"/>
  <c r="Z64" i="5"/>
  <c r="Z76" i="5"/>
  <c r="Z16" i="5"/>
  <c r="Z28" i="5"/>
</calcChain>
</file>

<file path=xl/comments1.xml><?xml version="1.0" encoding="utf-8"?>
<comments xmlns="http://schemas.openxmlformats.org/spreadsheetml/2006/main">
  <authors>
    <author>MARK</author>
  </authors>
  <commentList>
    <comment ref="K74" authorId="0" shapeId="0">
      <text>
        <r>
          <rPr>
            <b/>
            <sz val="9"/>
            <color indexed="81"/>
            <rFont val="Tahoma"/>
            <family val="2"/>
          </rPr>
          <t>MARK:</t>
        </r>
        <r>
          <rPr>
            <sz val="9"/>
            <color indexed="81"/>
            <rFont val="Tahoma"/>
            <family val="2"/>
          </rPr>
          <t xml:space="preserve">
Includes replacement of 2500 of the Pilot Meters from other AMI Vendor.</t>
        </r>
      </text>
    </comment>
    <comment ref="W74" authorId="0" shapeId="0">
      <text>
        <r>
          <rPr>
            <b/>
            <sz val="9"/>
            <color indexed="81"/>
            <rFont val="Tahoma"/>
            <family val="2"/>
          </rPr>
          <t>MARK:</t>
        </r>
        <r>
          <rPr>
            <sz val="9"/>
            <color indexed="81"/>
            <rFont val="Tahoma"/>
            <family val="2"/>
          </rPr>
          <t xml:space="preserve">
Includes replacement of 2500 of the Pilot Meters from other AMI Vendor.</t>
        </r>
      </text>
    </comment>
  </commentList>
</comments>
</file>

<file path=xl/sharedStrings.xml><?xml version="1.0" encoding="utf-8"?>
<sst xmlns="http://schemas.openxmlformats.org/spreadsheetml/2006/main" count="272" uniqueCount="123">
  <si>
    <t># installers</t>
  </si>
  <si>
    <t>Avg. meters per week - all persons</t>
  </si>
  <si>
    <t>Cumulative Meters installed</t>
  </si>
  <si>
    <t>Avg. meters per month - all persons</t>
  </si>
  <si>
    <t>AMI/MDMS</t>
  </si>
  <si>
    <t>Total Water:</t>
  </si>
  <si>
    <t>All Water Meters</t>
  </si>
  <si>
    <t>WATER:</t>
  </si>
  <si>
    <t>Meter Size</t>
  </si>
  <si>
    <t>Est'd Qty</t>
  </si>
  <si>
    <t>Vendor</t>
  </si>
  <si>
    <t>SAWS</t>
  </si>
  <si>
    <t>Phase 3 - FSWD</t>
  </si>
  <si>
    <t>-</t>
  </si>
  <si>
    <t xml:space="preserve">  Assigned Installer:</t>
  </si>
  <si>
    <t>Oct. 2019</t>
  </si>
  <si>
    <t>Qty</t>
  </si>
  <si>
    <t>5/8"</t>
  </si>
  <si>
    <t>3/4"</t>
  </si>
  <si>
    <t>1"</t>
  </si>
  <si>
    <t>1-1/2"</t>
  </si>
  <si>
    <t>2"</t>
  </si>
  <si>
    <t>3"</t>
  </si>
  <si>
    <t>4"</t>
  </si>
  <si>
    <t>Other</t>
  </si>
  <si>
    <t>Totals</t>
  </si>
  <si>
    <t>(cont'd)</t>
  </si>
  <si>
    <r>
      <t xml:space="preserve">By </t>
    </r>
    <r>
      <rPr>
        <b/>
        <sz val="11"/>
        <color rgb="FFFF0000"/>
        <rFont val="Calibri"/>
        <family val="2"/>
        <scheme val="minor"/>
      </rPr>
      <t>Year</t>
    </r>
    <r>
      <rPr>
        <b/>
        <sz val="11"/>
        <color theme="1"/>
        <rFont val="Calibri"/>
        <family val="2"/>
        <scheme val="minor"/>
      </rPr>
      <t>, Cum. Meters installed</t>
    </r>
  </si>
  <si>
    <t>(Includes Growth thru 2022)</t>
  </si>
  <si>
    <t>Vendor Qty:</t>
  </si>
  <si>
    <t>SAWS Qty:</t>
  </si>
  <si>
    <t>Act. Qty*</t>
  </si>
  <si>
    <t>* Data provided by Chrystal Alexander circa mid-October, 2019</t>
  </si>
  <si>
    <t>Pilot + 48 Month Full System Wide Deployment</t>
  </si>
  <si>
    <t>Ph 2, Pilot, TA 1</t>
  </si>
  <si>
    <t>Ph 2, Pilot, TA 1 &amp; 2</t>
  </si>
  <si>
    <t>Ph 2 Pilot, TA 2 &amp; 3</t>
  </si>
  <si>
    <t>Ph 2, Pilot, TA 3</t>
  </si>
  <si>
    <t>Phase 2, Pilot</t>
  </si>
  <si>
    <t>(Cont'd)</t>
  </si>
  <si>
    <t>Mo-Yr</t>
  </si>
  <si>
    <t>AMI-EPI Contract Mo. #</t>
  </si>
  <si>
    <t>Program Phase Mo. #</t>
  </si>
  <si>
    <t>Deploy- ment Mo. #</t>
  </si>
  <si>
    <t>Avg meters per day per installer</t>
  </si>
  <si>
    <t>VENDOR - Resid. (5/8" up to and including 2")</t>
  </si>
  <si>
    <t>3" or greater</t>
  </si>
  <si>
    <t>12 mos.</t>
  </si>
  <si>
    <t>10 mos.</t>
  </si>
  <si>
    <t>2 mos.</t>
  </si>
  <si>
    <t>note 2: These are the estimated quantity of meters &amp; new AMI communications modules required at end of each period.</t>
  </si>
  <si>
    <r>
      <t xml:space="preserve">note 1, </t>
    </r>
    <r>
      <rPr>
        <b/>
        <sz val="11"/>
        <color rgb="FFFF0000"/>
        <rFont val="Calibri"/>
        <family val="2"/>
        <scheme val="minor"/>
      </rPr>
      <t>2</t>
    </r>
  </si>
  <si>
    <t xml:space="preserve">  Install/Retrofit #'s,</t>
  </si>
  <si>
    <t>note 3</t>
  </si>
  <si>
    <t>note 2</t>
  </si>
  <si>
    <t xml:space="preserve">note 3: These are the estimated quantity of meters that will exist &amp; require replacement by EPI/SAWS, plus installation of </t>
  </si>
  <si>
    <t xml:space="preserve">               new AMI communications modules, at the end of 2022.</t>
  </si>
  <si>
    <t>note 1: Assumes all new business installs will include "proper" new meter PLUS AMI Comms Module starting in 2023 and onwards</t>
  </si>
  <si>
    <r>
      <t>note 2,</t>
    </r>
    <r>
      <rPr>
        <b/>
        <sz val="11"/>
        <color theme="1"/>
        <rFont val="Calibri"/>
        <family val="2"/>
        <scheme val="minor"/>
      </rPr>
      <t xml:space="preserve"> 4</t>
    </r>
  </si>
  <si>
    <t>Annual</t>
  </si>
  <si>
    <t>Growth</t>
  </si>
  <si>
    <t>Assumed</t>
  </si>
  <si>
    <t>THESE NUMBERS ARE, HOWEVER, SUBJECT TO VARIATION AND CHANGE</t>
  </si>
  <si>
    <t>THESE METER COUNTS ARE BASED ON BEST INFORMATION CURRENTLY AVAILABLE.</t>
  </si>
  <si>
    <t>note 4: Represents the total number of existing meters, PLUS growth, that will occur through the end of a 48 Month FSWD Deployment Period.</t>
  </si>
  <si>
    <t>Less than 3"; also add 2500 extra</t>
  </si>
  <si>
    <t>Meter Age Years</t>
  </si>
  <si>
    <t>1.5"</t>
  </si>
  <si>
    <t>6"</t>
  </si>
  <si>
    <t>8"</t>
  </si>
  <si>
    <t>10"</t>
  </si>
  <si>
    <t>Unknown (DSP)</t>
  </si>
  <si>
    <t>Note 1</t>
  </si>
  <si>
    <t>Note 1:</t>
  </si>
  <si>
    <t>Unknown (DSP) Meters are no newer than 2013.</t>
  </si>
  <si>
    <t>OPTION 1</t>
  </si>
  <si>
    <t>OPTION 1:</t>
  </si>
  <si>
    <t>OPTION 2:</t>
  </si>
  <si>
    <t>OPTION 3:</t>
  </si>
  <si>
    <t>OPTION 2</t>
  </si>
  <si>
    <t>OPTION 3</t>
  </si>
  <si>
    <t>OPTION 4:</t>
  </si>
  <si>
    <t>OPTION 4</t>
  </si>
  <si>
    <t>BASELINE:</t>
  </si>
  <si>
    <t>Meters age 2014 &amp; Newer:</t>
  </si>
  <si>
    <t>Meters age 2013 &amp; Older:</t>
  </si>
  <si>
    <t>Grand</t>
  </si>
  <si>
    <t>Total:</t>
  </si>
  <si>
    <t>/  Size</t>
  </si>
  <si>
    <t>EXISTING METER DATA - DETAILS</t>
  </si>
  <si>
    <r>
      <rPr>
        <b/>
        <sz val="14"/>
        <color rgb="FFFF0000"/>
        <rFont val="Calibri"/>
        <family val="2"/>
        <scheme val="minor"/>
      </rPr>
      <t xml:space="preserve">KEEP ALL METERS AS-IS </t>
    </r>
    <r>
      <rPr>
        <b/>
        <sz val="14"/>
        <color theme="1"/>
        <rFont val="Calibri"/>
        <family val="2"/>
        <scheme val="minor"/>
      </rPr>
      <t>&amp; RETROFIT WITH AMI COMMUNICATIONS MODULE ONLY.</t>
    </r>
  </si>
  <si>
    <r>
      <t xml:space="preserve">REPLACE ALL METERS </t>
    </r>
    <r>
      <rPr>
        <b/>
        <sz val="14"/>
        <color rgb="FFFF0000"/>
        <rFont val="Calibri"/>
        <family val="2"/>
        <scheme val="minor"/>
      </rPr>
      <t xml:space="preserve">2013 &amp; OLDER WITH NEW STATIC MTRS </t>
    </r>
    <r>
      <rPr>
        <b/>
        <sz val="14"/>
        <color theme="1"/>
        <rFont val="Calibri"/>
        <family val="2"/>
        <scheme val="minor"/>
      </rPr>
      <t>&amp; INSTALL AMI COMMUNICATIONS MODULE.</t>
    </r>
  </si>
  <si>
    <r>
      <t xml:space="preserve">REPLACE METERS </t>
    </r>
    <r>
      <rPr>
        <b/>
        <sz val="14"/>
        <color rgb="FFFF0000"/>
        <rFont val="Calibri"/>
        <family val="2"/>
        <scheme val="minor"/>
      </rPr>
      <t xml:space="preserve">2013 &amp; OLDER WITH NEW MECHANICAL MTRS </t>
    </r>
    <r>
      <rPr>
        <b/>
        <sz val="14"/>
        <color theme="1"/>
        <rFont val="Calibri"/>
        <family val="2"/>
        <scheme val="minor"/>
      </rPr>
      <t>&amp; INSTALL AMI COMMUNICATIONS MODULE.</t>
    </r>
  </si>
  <si>
    <r>
      <rPr>
        <b/>
        <sz val="14"/>
        <color rgb="FFFF0000"/>
        <rFont val="Calibri"/>
        <family val="2"/>
        <scheme val="minor"/>
      </rPr>
      <t>REPLACE ALL METERS WITH NEW STATIC MTRS</t>
    </r>
    <r>
      <rPr>
        <b/>
        <sz val="14"/>
        <color theme="1"/>
        <rFont val="Calibri"/>
        <family val="2"/>
        <scheme val="minor"/>
      </rPr>
      <t xml:space="preserve"> &amp; INSTALL AMI COMMUNICATIONS MODULE.</t>
    </r>
  </si>
  <si>
    <r>
      <t xml:space="preserve">KEEP ALL METERS </t>
    </r>
    <r>
      <rPr>
        <b/>
        <sz val="14"/>
        <color rgb="FFFF0000"/>
        <rFont val="Calibri"/>
        <family val="2"/>
        <scheme val="minor"/>
      </rPr>
      <t xml:space="preserve">2014 &amp; NEWER AS-IS </t>
    </r>
    <r>
      <rPr>
        <b/>
        <sz val="14"/>
        <color theme="1"/>
        <rFont val="Calibri"/>
        <family val="2"/>
        <scheme val="minor"/>
      </rPr>
      <t>&amp; RETROFIT WITH AMI COMMUNICATIONS MODULE ONLY.</t>
    </r>
  </si>
  <si>
    <t>Replace w/Static Mtr + Install AMI Comms Module</t>
  </si>
  <si>
    <t>Replace ALL w/Static Mtr + Install AMI Comms Module</t>
  </si>
  <si>
    <t>Current Total</t>
  </si>
  <si>
    <t>Current</t>
  </si>
  <si>
    <t>+ Est'd Growth</t>
  </si>
  <si>
    <t>Note 2</t>
  </si>
  <si>
    <t>Note 2:</t>
  </si>
  <si>
    <t>Retain ALL AS-IS + Install/Retrofit with AMI Comms Module.</t>
  </si>
  <si>
    <t>Replace w/Mechanical Mtr + Install AMI Comms Module.</t>
  </si>
  <si>
    <t>Note 2.</t>
  </si>
  <si>
    <r>
      <rPr>
        <b/>
        <sz val="11"/>
        <color rgb="FFFF0000"/>
        <rFont val="Calibri"/>
        <family val="2"/>
        <scheme val="minor"/>
      </rPr>
      <t>Note 2</t>
    </r>
    <r>
      <rPr>
        <b/>
        <sz val="11"/>
        <color theme="1"/>
        <rFont val="Calibri"/>
        <family val="2"/>
        <scheme val="minor"/>
      </rPr>
      <t>. Retain AS-IS + Install/Retrofit with AMI Comms Module.</t>
    </r>
  </si>
  <si>
    <t>&lt;=2013</t>
  </si>
  <si>
    <t>(WMP)</t>
  </si>
  <si>
    <t>SAWS ConnectH2O Meter Installation Forecast &amp; Projections</t>
  </si>
  <si>
    <t>Appendix 6 - SAWS ConnectH2O AMI Water Deployment – Initial Plan</t>
  </si>
  <si>
    <t>Appendix 6 - SAWS Connect H2O AMI Water Deployment – Initial Plan</t>
  </si>
  <si>
    <t>SAWS ConnectH2O Meter Counts by Size, Age &amp; Meter Replacement Options</t>
  </si>
  <si>
    <t>SAWS ConnectH2O: Meter Replacement OPTIONS 1 Through 4:</t>
  </si>
  <si>
    <t>EXISTING METER DATA [DETAILS BY YEAR AT BOTTOM, BELOW]</t>
  </si>
  <si>
    <r>
      <t xml:space="preserve">Includes Estimated Growth as forecast to occur from Oct. 2019 to Dec. 2022. </t>
    </r>
    <r>
      <rPr>
        <b/>
        <u/>
        <sz val="11"/>
        <color rgb="FFFF0000"/>
        <rFont val="Calibri"/>
        <family val="2"/>
        <scheme val="minor"/>
      </rPr>
      <t>THESE ARE CURRENTLY ASSUMED TO BE MECHANICAL METERS.</t>
    </r>
  </si>
  <si>
    <t xml:space="preserve">2,500 for replacement of the other AMI Vendor whose technology was not selected </t>
  </si>
  <si>
    <t xml:space="preserve">Includes the extra 2,500 for replacement of the other AMI Vendor whose technology was not selected </t>
  </si>
  <si>
    <t>2" and Less</t>
  </si>
  <si>
    <t>Option - Vendor in lieu of SAWS  - Comm. (3" and greater)</t>
  </si>
  <si>
    <t>to be Installed by EPI Vendor (See Exhibit A - EPI Pricing Workbook, for details)</t>
  </si>
  <si>
    <t xml:space="preserve">Note 1: SAWS has requested Option for Pilot Residential Meters </t>
  </si>
  <si>
    <t>Note 2: SAWS to Install in Pilot.</t>
  </si>
  <si>
    <t>EPI Vendor to fill in these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</si>
</sst>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[$-409]mmm\-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3" fontId="0" fillId="0" borderId="0" xfId="0" applyNumberFormat="1"/>
    <xf numFmtId="0" fontId="1" fillId="0" borderId="2" xfId="0" applyFont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31" xfId="0" applyFont="1" applyBorder="1"/>
    <xf numFmtId="3" fontId="1" fillId="0" borderId="32" xfId="0" applyNumberFormat="1" applyFont="1" applyBorder="1" applyAlignment="1">
      <alignment horizontal="center"/>
    </xf>
    <xf numFmtId="0" fontId="1" fillId="0" borderId="33" xfId="0" applyFont="1" applyBorder="1"/>
    <xf numFmtId="3" fontId="1" fillId="0" borderId="16" xfId="0" applyNumberFormat="1" applyFont="1" applyBorder="1" applyAlignment="1">
      <alignment horizontal="center"/>
    </xf>
    <xf numFmtId="0" fontId="1" fillId="0" borderId="34" xfId="0" applyFont="1" applyBorder="1"/>
    <xf numFmtId="3" fontId="1" fillId="0" borderId="3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164" fontId="3" fillId="0" borderId="18" xfId="0" applyNumberFormat="1" applyFont="1" applyBorder="1"/>
    <xf numFmtId="0" fontId="3" fillId="0" borderId="30" xfId="0" applyFont="1" applyBorder="1" applyAlignment="1">
      <alignment horizontal="center"/>
    </xf>
    <xf numFmtId="0" fontId="3" fillId="0" borderId="39" xfId="0" applyFont="1" applyBorder="1"/>
    <xf numFmtId="0" fontId="3" fillId="0" borderId="42" xfId="0" applyFont="1" applyBorder="1"/>
    <xf numFmtId="0" fontId="3" fillId="0" borderId="11" xfId="0" applyFont="1" applyBorder="1"/>
    <xf numFmtId="0" fontId="3" fillId="0" borderId="29" xfId="0" applyFont="1" applyBorder="1"/>
    <xf numFmtId="9" fontId="3" fillId="0" borderId="11" xfId="0" applyNumberFormat="1" applyFont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wrapText="1"/>
    </xf>
    <xf numFmtId="0" fontId="2" fillId="2" borderId="53" xfId="0" applyFont="1" applyFill="1" applyBorder="1" applyAlignment="1">
      <alignment horizontal="left"/>
    </xf>
    <xf numFmtId="3" fontId="2" fillId="2" borderId="44" xfId="0" applyNumberFormat="1" applyFont="1" applyFill="1" applyBorder="1" applyAlignment="1">
      <alignment horizontal="left"/>
    </xf>
    <xf numFmtId="3" fontId="1" fillId="2" borderId="55" xfId="0" applyNumberFormat="1" applyFont="1" applyFill="1" applyBorder="1" applyAlignment="1">
      <alignment horizontal="center"/>
    </xf>
    <xf numFmtId="0" fontId="2" fillId="3" borderId="53" xfId="0" applyFont="1" applyFill="1" applyBorder="1" applyAlignment="1">
      <alignment horizontal="left"/>
    </xf>
    <xf numFmtId="3" fontId="2" fillId="3" borderId="44" xfId="0" applyNumberFormat="1" applyFont="1" applyFill="1" applyBorder="1" applyAlignment="1">
      <alignment horizontal="left"/>
    </xf>
    <xf numFmtId="3" fontId="1" fillId="3" borderId="55" xfId="0" applyNumberFormat="1" applyFont="1" applyFill="1" applyBorder="1" applyAlignment="1">
      <alignment horizontal="center"/>
    </xf>
    <xf numFmtId="166" fontId="2" fillId="4" borderId="53" xfId="0" applyNumberFormat="1" applyFont="1" applyFill="1" applyBorder="1" applyAlignment="1">
      <alignment horizontal="left"/>
    </xf>
    <xf numFmtId="3" fontId="2" fillId="4" borderId="54" xfId="0" applyNumberFormat="1" applyFont="1" applyFill="1" applyBorder="1" applyAlignment="1">
      <alignment horizontal="left"/>
    </xf>
    <xf numFmtId="3" fontId="1" fillId="4" borderId="55" xfId="0" applyNumberFormat="1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 wrapText="1"/>
    </xf>
    <xf numFmtId="3" fontId="1" fillId="4" borderId="27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1" fillId="2" borderId="54" xfId="0" applyNumberFormat="1" applyFont="1" applyFill="1" applyBorder="1" applyAlignment="1">
      <alignment horizontal="center"/>
    </xf>
    <xf numFmtId="3" fontId="1" fillId="6" borderId="11" xfId="0" applyNumberFormat="1" applyFont="1" applyFill="1" applyBorder="1" applyAlignment="1">
      <alignment horizontal="center"/>
    </xf>
    <xf numFmtId="3" fontId="1" fillId="6" borderId="18" xfId="0" applyNumberFormat="1" applyFon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3" fontId="1" fillId="7" borderId="18" xfId="0" applyNumberFormat="1" applyFont="1" applyFill="1" applyBorder="1" applyAlignment="1">
      <alignment horizontal="center"/>
    </xf>
    <xf numFmtId="3" fontId="1" fillId="7" borderId="39" xfId="0" applyNumberFormat="1" applyFont="1" applyFill="1" applyBorder="1" applyAlignment="1">
      <alignment horizontal="center"/>
    </xf>
    <xf numFmtId="3" fontId="1" fillId="7" borderId="21" xfId="0" applyNumberFormat="1" applyFont="1" applyFill="1" applyBorder="1" applyAlignment="1">
      <alignment horizontal="center"/>
    </xf>
    <xf numFmtId="3" fontId="1" fillId="7" borderId="22" xfId="0" applyNumberFormat="1" applyFont="1" applyFill="1" applyBorder="1" applyAlignment="1">
      <alignment horizontal="center"/>
    </xf>
    <xf numFmtId="3" fontId="1" fillId="7" borderId="40" xfId="0" applyNumberFormat="1" applyFont="1" applyFill="1" applyBorder="1" applyAlignment="1">
      <alignment horizontal="center"/>
    </xf>
    <xf numFmtId="3" fontId="1" fillId="7" borderId="37" xfId="0" applyNumberFormat="1" applyFont="1" applyFill="1" applyBorder="1" applyAlignment="1">
      <alignment horizontal="center"/>
    </xf>
    <xf numFmtId="3" fontId="1" fillId="6" borderId="15" xfId="0" applyNumberFormat="1" applyFont="1" applyFill="1" applyBorder="1" applyAlignment="1">
      <alignment horizontal="center"/>
    </xf>
    <xf numFmtId="3" fontId="1" fillId="6" borderId="17" xfId="0" applyNumberFormat="1" applyFont="1" applyFill="1" applyBorder="1" applyAlignment="1">
      <alignment horizontal="center"/>
    </xf>
    <xf numFmtId="3" fontId="1" fillId="7" borderId="10" xfId="0" applyNumberFormat="1" applyFont="1" applyFill="1" applyBorder="1" applyAlignment="1">
      <alignment horizontal="center"/>
    </xf>
    <xf numFmtId="3" fontId="1" fillId="7" borderId="35" xfId="0" applyNumberFormat="1" applyFont="1" applyFill="1" applyBorder="1" applyAlignment="1">
      <alignment horizontal="center"/>
    </xf>
    <xf numFmtId="3" fontId="1" fillId="7" borderId="3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3" fontId="1" fillId="7" borderId="0" xfId="0" applyNumberFormat="1" applyFont="1" applyFill="1" applyAlignment="1">
      <alignment horizontal="left"/>
    </xf>
    <xf numFmtId="3" fontId="0" fillId="7" borderId="0" xfId="0" applyNumberForma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5" xfId="0" applyFont="1" applyFill="1" applyBorder="1"/>
    <xf numFmtId="0" fontId="1" fillId="9" borderId="17" xfId="0" applyFont="1" applyFill="1" applyBorder="1"/>
    <xf numFmtId="0" fontId="1" fillId="9" borderId="38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39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3" fontId="1" fillId="9" borderId="14" xfId="0" applyNumberFormat="1" applyFont="1" applyFill="1" applyBorder="1" applyAlignment="1">
      <alignment horizontal="center"/>
    </xf>
    <xf numFmtId="3" fontId="1" fillId="9" borderId="11" xfId="0" applyNumberFormat="1" applyFont="1" applyFill="1" applyBorder="1" applyAlignment="1">
      <alignment horizontal="center"/>
    </xf>
    <xf numFmtId="3" fontId="1" fillId="9" borderId="18" xfId="0" applyNumberFormat="1" applyFont="1" applyFill="1" applyBorder="1" applyAlignment="1">
      <alignment horizontal="center"/>
    </xf>
    <xf numFmtId="3" fontId="1" fillId="9" borderId="39" xfId="0" applyNumberFormat="1" applyFont="1" applyFill="1" applyBorder="1" applyAlignment="1">
      <alignment horizontal="center"/>
    </xf>
    <xf numFmtId="3" fontId="1" fillId="9" borderId="20" xfId="0" applyNumberFormat="1" applyFont="1" applyFill="1" applyBorder="1" applyAlignment="1">
      <alignment horizontal="center"/>
    </xf>
    <xf numFmtId="3" fontId="1" fillId="9" borderId="21" xfId="0" applyNumberFormat="1" applyFont="1" applyFill="1" applyBorder="1" applyAlignment="1">
      <alignment horizontal="center"/>
    </xf>
    <xf numFmtId="3" fontId="1" fillId="9" borderId="22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5" xfId="0" applyFont="1" applyFill="1" applyBorder="1"/>
    <xf numFmtId="0" fontId="1" fillId="7" borderId="17" xfId="0" applyFont="1" applyFill="1" applyBorder="1" applyAlignment="1">
      <alignment horizontal="center"/>
    </xf>
    <xf numFmtId="3" fontId="1" fillId="10" borderId="19" xfId="0" applyNumberFormat="1" applyFont="1" applyFill="1" applyBorder="1" applyAlignment="1">
      <alignment horizontal="center" wrapText="1"/>
    </xf>
    <xf numFmtId="3" fontId="1" fillId="10" borderId="1" xfId="0" applyNumberFormat="1" applyFont="1" applyFill="1" applyBorder="1" applyAlignment="1">
      <alignment horizontal="center"/>
    </xf>
    <xf numFmtId="3" fontId="1" fillId="10" borderId="29" xfId="0" applyNumberFormat="1" applyFont="1" applyFill="1" applyBorder="1" applyAlignment="1">
      <alignment horizontal="center"/>
    </xf>
    <xf numFmtId="3" fontId="1" fillId="10" borderId="25" xfId="0" applyNumberFormat="1" applyFont="1" applyFill="1" applyBorder="1" applyAlignment="1">
      <alignment horizontal="center"/>
    </xf>
    <xf numFmtId="167" fontId="1" fillId="0" borderId="14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7" fontId="1" fillId="0" borderId="18" xfId="0" applyNumberFormat="1" applyFont="1" applyBorder="1" applyAlignment="1">
      <alignment horizontal="right"/>
    </xf>
    <xf numFmtId="167" fontId="1" fillId="0" borderId="39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1" fillId="6" borderId="15" xfId="0" applyFont="1" applyFill="1" applyBorder="1"/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3" fontId="11" fillId="0" borderId="0" xfId="0" applyNumberFormat="1" applyFont="1" applyAlignment="1">
      <alignment horizontal="right"/>
    </xf>
    <xf numFmtId="0" fontId="1" fillId="0" borderId="56" xfId="0" applyFont="1" applyBorder="1"/>
    <xf numFmtId="0" fontId="1" fillId="7" borderId="57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left"/>
    </xf>
    <xf numFmtId="0" fontId="1" fillId="0" borderId="58" xfId="0" applyFont="1" applyBorder="1"/>
    <xf numFmtId="0" fontId="1" fillId="0" borderId="59" xfId="0" applyFont="1" applyBorder="1"/>
    <xf numFmtId="0" fontId="1" fillId="2" borderId="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35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/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1" fillId="2" borderId="31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3" fillId="11" borderId="58" xfId="0" applyFont="1" applyFill="1" applyBorder="1" applyAlignment="1">
      <alignment horizontal="center"/>
    </xf>
    <xf numFmtId="3" fontId="1" fillId="11" borderId="60" xfId="0" applyNumberFormat="1" applyFont="1" applyFill="1" applyBorder="1" applyAlignment="1">
      <alignment horizontal="center"/>
    </xf>
    <xf numFmtId="3" fontId="1" fillId="11" borderId="46" xfId="0" applyNumberFormat="1" applyFont="1" applyFill="1" applyBorder="1" applyAlignment="1">
      <alignment horizontal="center"/>
    </xf>
    <xf numFmtId="3" fontId="1" fillId="11" borderId="61" xfId="0" applyNumberFormat="1" applyFont="1" applyFill="1" applyBorder="1" applyAlignment="1">
      <alignment horizontal="center"/>
    </xf>
    <xf numFmtId="3" fontId="1" fillId="11" borderId="3" xfId="0" applyNumberFormat="1" applyFont="1" applyFill="1" applyBorder="1" applyAlignment="1">
      <alignment horizontal="center"/>
    </xf>
    <xf numFmtId="3" fontId="1" fillId="11" borderId="0" xfId="0" applyNumberFormat="1" applyFont="1" applyFill="1" applyAlignment="1">
      <alignment horizontal="left"/>
    </xf>
    <xf numFmtId="3" fontId="0" fillId="11" borderId="0" xfId="0" applyNumberFormat="1" applyFont="1" applyFill="1" applyAlignment="1">
      <alignment horizontal="center"/>
    </xf>
    <xf numFmtId="3" fontId="0" fillId="11" borderId="0" xfId="0" applyNumberFormat="1" applyFont="1" applyFill="1"/>
    <xf numFmtId="164" fontId="1" fillId="7" borderId="10" xfId="0" applyNumberFormat="1" applyFont="1" applyFill="1" applyBorder="1" applyAlignment="1">
      <alignment horizontal="center"/>
    </xf>
    <xf numFmtId="164" fontId="1" fillId="7" borderId="11" xfId="0" applyNumberFormat="1" applyFont="1" applyFill="1" applyBorder="1" applyAlignment="1">
      <alignment horizontal="center"/>
    </xf>
    <xf numFmtId="164" fontId="1" fillId="7" borderId="35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Alignment="1"/>
    <xf numFmtId="3" fontId="1" fillId="5" borderId="1" xfId="0" applyNumberFormat="1" applyFont="1" applyFill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1" fillId="7" borderId="1" xfId="1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3" fontId="1" fillId="0" borderId="9" xfId="1" applyNumberFormat="1" applyFont="1" applyBorder="1" applyAlignment="1">
      <alignment horizontal="center"/>
    </xf>
    <xf numFmtId="3" fontId="1" fillId="7" borderId="9" xfId="1" applyNumberFormat="1" applyFont="1" applyFill="1" applyBorder="1" applyAlignment="1">
      <alignment horizontal="center"/>
    </xf>
    <xf numFmtId="3" fontId="1" fillId="5" borderId="64" xfId="0" applyNumberFormat="1" applyFont="1" applyFill="1" applyBorder="1" applyAlignment="1">
      <alignment horizontal="center"/>
    </xf>
    <xf numFmtId="0" fontId="1" fillId="5" borderId="64" xfId="0" applyNumberFormat="1" applyFont="1" applyFill="1" applyBorder="1" applyAlignment="1">
      <alignment horizontal="center"/>
    </xf>
    <xf numFmtId="3" fontId="1" fillId="0" borderId="64" xfId="1" applyNumberFormat="1" applyFont="1" applyBorder="1" applyAlignment="1">
      <alignment horizontal="center"/>
    </xf>
    <xf numFmtId="3" fontId="1" fillId="7" borderId="64" xfId="1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1" fillId="0" borderId="62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3" fontId="1" fillId="0" borderId="62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/>
    </xf>
    <xf numFmtId="0" fontId="2" fillId="13" borderId="2" xfId="0" applyFont="1" applyFill="1" applyBorder="1" applyAlignment="1">
      <alignment horizontal="left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left"/>
    </xf>
    <xf numFmtId="0" fontId="1" fillId="13" borderId="62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2" fillId="13" borderId="58" xfId="0" applyFont="1" applyFill="1" applyBorder="1" applyAlignment="1">
      <alignment horizontal="left"/>
    </xf>
    <xf numFmtId="0" fontId="1" fillId="13" borderId="63" xfId="0" applyFont="1" applyFill="1" applyBorder="1" applyAlignment="1">
      <alignment horizontal="center"/>
    </xf>
    <xf numFmtId="0" fontId="1" fillId="13" borderId="5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3" fontId="1" fillId="7" borderId="2" xfId="0" applyNumberFormat="1" applyFont="1" applyFill="1" applyBorder="1" applyAlignment="1">
      <alignment horizontal="right"/>
    </xf>
    <xf numFmtId="0" fontId="1" fillId="7" borderId="4" xfId="0" applyNumberFormat="1" applyFont="1" applyFill="1" applyBorder="1" applyAlignment="1">
      <alignment horizontal="left"/>
    </xf>
    <xf numFmtId="3" fontId="1" fillId="5" borderId="1" xfId="0" quotePrefix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9" fontId="3" fillId="3" borderId="2" xfId="0" applyNumberFormat="1" applyFont="1" applyFill="1" applyBorder="1" applyAlignment="1">
      <alignment horizontal="right"/>
    </xf>
    <xf numFmtId="0" fontId="3" fillId="3" borderId="4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right"/>
    </xf>
    <xf numFmtId="0" fontId="1" fillId="5" borderId="8" xfId="0" applyNumberFormat="1" applyFont="1" applyFill="1" applyBorder="1" applyAlignment="1">
      <alignment horizontal="left"/>
    </xf>
    <xf numFmtId="3" fontId="1" fillId="5" borderId="6" xfId="0" quotePrefix="1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3" fontId="1" fillId="5" borderId="65" xfId="0" applyNumberFormat="1" applyFont="1" applyFill="1" applyBorder="1" applyAlignment="1">
      <alignment horizontal="left"/>
    </xf>
    <xf numFmtId="0" fontId="1" fillId="5" borderId="65" xfId="0" applyNumberFormat="1" applyFont="1" applyFill="1" applyBorder="1" applyAlignment="1">
      <alignment horizontal="center"/>
    </xf>
    <xf numFmtId="3" fontId="1" fillId="0" borderId="65" xfId="1" applyNumberFormat="1" applyFont="1" applyBorder="1" applyAlignment="1">
      <alignment horizontal="center"/>
    </xf>
    <xf numFmtId="3" fontId="1" fillId="7" borderId="65" xfId="1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57" xfId="0" applyFont="1" applyFill="1" applyBorder="1" applyAlignment="1">
      <alignment horizontal="center"/>
    </xf>
    <xf numFmtId="3" fontId="1" fillId="8" borderId="10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3" fontId="1" fillId="8" borderId="35" xfId="0" applyNumberFormat="1" applyFont="1" applyFill="1" applyBorder="1" applyAlignment="1">
      <alignment horizontal="center"/>
    </xf>
    <xf numFmtId="3" fontId="1" fillId="8" borderId="3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indent="2"/>
    </xf>
    <xf numFmtId="0" fontId="17" fillId="0" borderId="0" xfId="0" applyFont="1" applyAlignment="1">
      <alignment horizontal="left"/>
    </xf>
    <xf numFmtId="0" fontId="17" fillId="0" borderId="0" xfId="0" applyFont="1"/>
    <xf numFmtId="0" fontId="19" fillId="0" borderId="0" xfId="0" applyFont="1"/>
    <xf numFmtId="0" fontId="18" fillId="13" borderId="6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right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166" fontId="10" fillId="0" borderId="0" xfId="0" applyNumberFormat="1" applyFont="1" applyAlignment="1">
      <alignment horizontal="center"/>
    </xf>
    <xf numFmtId="0" fontId="22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/>
    <xf numFmtId="166" fontId="1" fillId="0" borderId="0" xfId="0" applyNumberFormat="1" applyFont="1" applyAlignment="1">
      <alignment horizontal="center"/>
    </xf>
    <xf numFmtId="0" fontId="3" fillId="0" borderId="0" xfId="0" applyFont="1"/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2" borderId="54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3" fontId="1" fillId="3" borderId="54" xfId="0" applyNumberFormat="1" applyFont="1" applyFill="1" applyBorder="1" applyAlignment="1">
      <alignment horizontal="center"/>
    </xf>
    <xf numFmtId="166" fontId="1" fillId="4" borderId="54" xfId="0" applyNumberFormat="1" applyFont="1" applyFill="1" applyBorder="1" applyAlignment="1">
      <alignment horizontal="center"/>
    </xf>
    <xf numFmtId="3" fontId="1" fillId="4" borderId="54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3" fontId="1" fillId="0" borderId="19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6" fontId="1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165" fontId="1" fillId="6" borderId="13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166" fontId="1" fillId="0" borderId="49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28" xfId="0" applyFont="1" applyBorder="1"/>
    <xf numFmtId="0" fontId="1" fillId="6" borderId="5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65" fontId="1" fillId="6" borderId="15" xfId="0" applyNumberFormat="1" applyFont="1" applyFill="1" applyBorder="1" applyAlignment="1">
      <alignment horizontal="center"/>
    </xf>
    <xf numFmtId="165" fontId="1" fillId="6" borderId="17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6" borderId="5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166" fontId="1" fillId="0" borderId="51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5" fontId="1" fillId="6" borderId="38" xfId="0" applyNumberFormat="1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66" fontId="1" fillId="0" borderId="52" xfId="0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3" fontId="1" fillId="6" borderId="37" xfId="0" applyNumberFormat="1" applyFont="1" applyFill="1" applyBorder="1" applyAlignment="1">
      <alignment horizontal="center"/>
    </xf>
    <xf numFmtId="166" fontId="1" fillId="6" borderId="50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3" fontId="1" fillId="6" borderId="21" xfId="0" applyNumberFormat="1" applyFont="1" applyFill="1" applyBorder="1" applyAlignment="1">
      <alignment horizontal="center"/>
    </xf>
    <xf numFmtId="3" fontId="1" fillId="6" borderId="43" xfId="0" applyNumberFormat="1" applyFont="1" applyFill="1" applyBorder="1" applyAlignment="1">
      <alignment horizontal="center"/>
    </xf>
    <xf numFmtId="166" fontId="1" fillId="6" borderId="51" xfId="0" applyNumberFormat="1" applyFont="1" applyFill="1" applyBorder="1" applyAlignment="1">
      <alignment horizontal="center"/>
    </xf>
    <xf numFmtId="166" fontId="1" fillId="6" borderId="22" xfId="0" applyNumberFormat="1" applyFont="1" applyFill="1" applyBorder="1" applyAlignment="1">
      <alignment horizontal="center"/>
    </xf>
    <xf numFmtId="3" fontId="1" fillId="6" borderId="22" xfId="0" applyNumberFormat="1" applyFont="1" applyFill="1" applyBorder="1" applyAlignment="1">
      <alignment horizontal="center"/>
    </xf>
    <xf numFmtId="165" fontId="3" fillId="15" borderId="15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165" fontId="1" fillId="15" borderId="15" xfId="0" applyNumberFormat="1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165" fontId="1" fillId="15" borderId="17" xfId="0" applyNumberFormat="1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165" fontId="1" fillId="15" borderId="38" xfId="0" applyNumberFormat="1" applyFont="1" applyFill="1" applyBorder="1" applyAlignment="1">
      <alignment horizontal="center"/>
    </xf>
    <xf numFmtId="0" fontId="1" fillId="15" borderId="39" xfId="0" applyFont="1" applyFill="1" applyBorder="1" applyAlignment="1">
      <alignment horizontal="center"/>
    </xf>
    <xf numFmtId="0" fontId="3" fillId="9" borderId="50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8" fillId="13" borderId="6" xfId="0" applyFont="1" applyFill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0" fillId="0" borderId="0" xfId="0" applyAlignment="1"/>
    <xf numFmtId="0" fontId="1" fillId="12" borderId="7" xfId="0" applyFont="1" applyFill="1" applyBorder="1" applyAlignment="1">
      <alignment horizontal="center" wrapText="1"/>
    </xf>
    <xf numFmtId="0" fontId="0" fillId="12" borderId="62" xfId="0" applyFill="1" applyBorder="1" applyAlignment="1">
      <alignment horizontal="center" wrapText="1"/>
    </xf>
    <xf numFmtId="0" fontId="0" fillId="12" borderId="8" xfId="0" applyFill="1" applyBorder="1" applyAlignment="1">
      <alignment horizontal="center" wrapText="1"/>
    </xf>
    <xf numFmtId="0" fontId="1" fillId="12" borderId="58" xfId="0" applyFont="1" applyFill="1" applyBorder="1" applyAlignment="1">
      <alignment horizontal="center" wrapText="1"/>
    </xf>
    <xf numFmtId="0" fontId="0" fillId="12" borderId="63" xfId="0" applyFill="1" applyBorder="1" applyAlignment="1">
      <alignment horizontal="center" wrapText="1"/>
    </xf>
    <xf numFmtId="0" fontId="0" fillId="12" borderId="59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FF"/>
      <color rgb="FFFFFF99"/>
      <color rgb="FFFFFFCC"/>
      <color rgb="FFCCFFCC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Avg.</a:t>
            </a:r>
            <a:r>
              <a:rPr lang="en-US" b="1" baseline="0"/>
              <a:t> </a:t>
            </a:r>
            <a:r>
              <a:rPr lang="en-US" b="1"/>
              <a:t>Installs per Month, FSWD</a:t>
            </a:r>
            <a:r>
              <a:rPr lang="en-US" b="1" baseline="0"/>
              <a:t> = 48 Mos.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Pilot+48 Mo FSWD Deploy Plan'!$C$10:$C$88</c:f>
              <c:numCache>
                <c:formatCode>[$-409]mmm\-yy;@</c:formatCode>
                <c:ptCount val="79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  <c:pt idx="36">
                  <c:v>45078</c:v>
                </c:pt>
                <c:pt idx="37">
                  <c:v>45108</c:v>
                </c:pt>
                <c:pt idx="38">
                  <c:v>45139</c:v>
                </c:pt>
                <c:pt idx="39">
                  <c:v>45170</c:v>
                </c:pt>
                <c:pt idx="40">
                  <c:v>45200</c:v>
                </c:pt>
                <c:pt idx="41">
                  <c:v>45231</c:v>
                </c:pt>
                <c:pt idx="42">
                  <c:v>45261</c:v>
                </c:pt>
                <c:pt idx="43">
                  <c:v>45292</c:v>
                </c:pt>
                <c:pt idx="44">
                  <c:v>45323</c:v>
                </c:pt>
                <c:pt idx="45">
                  <c:v>45352</c:v>
                </c:pt>
                <c:pt idx="46">
                  <c:v>45383</c:v>
                </c:pt>
                <c:pt idx="47">
                  <c:v>45413</c:v>
                </c:pt>
                <c:pt idx="48">
                  <c:v>45444</c:v>
                </c:pt>
                <c:pt idx="49">
                  <c:v>45474</c:v>
                </c:pt>
                <c:pt idx="50">
                  <c:v>45505</c:v>
                </c:pt>
                <c:pt idx="51">
                  <c:v>45536</c:v>
                </c:pt>
                <c:pt idx="52">
                  <c:v>45566</c:v>
                </c:pt>
                <c:pt idx="53">
                  <c:v>45597</c:v>
                </c:pt>
                <c:pt idx="54">
                  <c:v>45627</c:v>
                </c:pt>
                <c:pt idx="55">
                  <c:v>45658</c:v>
                </c:pt>
                <c:pt idx="56">
                  <c:v>45689</c:v>
                </c:pt>
                <c:pt idx="57">
                  <c:v>45717</c:v>
                </c:pt>
                <c:pt idx="58">
                  <c:v>45748</c:v>
                </c:pt>
                <c:pt idx="59">
                  <c:v>45778</c:v>
                </c:pt>
                <c:pt idx="60">
                  <c:v>45809</c:v>
                </c:pt>
                <c:pt idx="61">
                  <c:v>45839</c:v>
                </c:pt>
                <c:pt idx="62">
                  <c:v>45870</c:v>
                </c:pt>
                <c:pt idx="63">
                  <c:v>45901</c:v>
                </c:pt>
                <c:pt idx="64">
                  <c:v>45931</c:v>
                </c:pt>
                <c:pt idx="65">
                  <c:v>45962</c:v>
                </c:pt>
                <c:pt idx="66">
                  <c:v>45992</c:v>
                </c:pt>
                <c:pt idx="67">
                  <c:v>46023</c:v>
                </c:pt>
                <c:pt idx="68">
                  <c:v>46054</c:v>
                </c:pt>
                <c:pt idx="69">
                  <c:v>46082</c:v>
                </c:pt>
                <c:pt idx="70">
                  <c:v>46113</c:v>
                </c:pt>
                <c:pt idx="71">
                  <c:v>46143</c:v>
                </c:pt>
                <c:pt idx="72">
                  <c:v>46174</c:v>
                </c:pt>
                <c:pt idx="73">
                  <c:v>46204</c:v>
                </c:pt>
                <c:pt idx="74">
                  <c:v>46235</c:v>
                </c:pt>
                <c:pt idx="75">
                  <c:v>46266</c:v>
                </c:pt>
                <c:pt idx="76">
                  <c:v>46296</c:v>
                </c:pt>
                <c:pt idx="77">
                  <c:v>46327</c:v>
                </c:pt>
                <c:pt idx="78">
                  <c:v>46357</c:v>
                </c:pt>
              </c:numCache>
            </c:numRef>
          </c:cat>
          <c:val>
            <c:numRef>
              <c:f>'3. Pilot+48 Mo FSWD Deploy Plan'!$J$10:$J$79</c:f>
              <c:numCache>
                <c:formatCode>#,##0</c:formatCode>
                <c:ptCount val="70"/>
                <c:pt idx="0">
                  <c:v>0</c:v>
                </c:pt>
                <c:pt idx="1">
                  <c:v>100</c:v>
                </c:pt>
                <c:pt idx="2">
                  <c:v>633.33333333333337</c:v>
                </c:pt>
                <c:pt idx="3">
                  <c:v>2766.666666666667</c:v>
                </c:pt>
                <c:pt idx="4">
                  <c:v>1500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1000</c:v>
                </c:pt>
                <c:pt idx="19">
                  <c:v>2500</c:v>
                </c:pt>
                <c:pt idx="20">
                  <c:v>4000</c:v>
                </c:pt>
                <c:pt idx="21">
                  <c:v>6500</c:v>
                </c:pt>
                <c:pt idx="22">
                  <c:v>9000</c:v>
                </c:pt>
                <c:pt idx="23">
                  <c:v>11500</c:v>
                </c:pt>
                <c:pt idx="24">
                  <c:v>13575</c:v>
                </c:pt>
                <c:pt idx="25">
                  <c:v>13575</c:v>
                </c:pt>
                <c:pt idx="26">
                  <c:v>13575</c:v>
                </c:pt>
                <c:pt idx="27">
                  <c:v>13575</c:v>
                </c:pt>
                <c:pt idx="28">
                  <c:v>13575</c:v>
                </c:pt>
                <c:pt idx="29">
                  <c:v>13575</c:v>
                </c:pt>
                <c:pt idx="30">
                  <c:v>13575</c:v>
                </c:pt>
                <c:pt idx="31">
                  <c:v>13575</c:v>
                </c:pt>
                <c:pt idx="32">
                  <c:v>13575</c:v>
                </c:pt>
                <c:pt idx="33">
                  <c:v>13575</c:v>
                </c:pt>
                <c:pt idx="34">
                  <c:v>13575</c:v>
                </c:pt>
                <c:pt idx="35">
                  <c:v>13575</c:v>
                </c:pt>
                <c:pt idx="36">
                  <c:v>13575</c:v>
                </c:pt>
                <c:pt idx="37">
                  <c:v>13575</c:v>
                </c:pt>
                <c:pt idx="38">
                  <c:v>13575</c:v>
                </c:pt>
                <c:pt idx="39">
                  <c:v>13575</c:v>
                </c:pt>
                <c:pt idx="40">
                  <c:v>13575</c:v>
                </c:pt>
                <c:pt idx="41">
                  <c:v>13575</c:v>
                </c:pt>
                <c:pt idx="42">
                  <c:v>13575</c:v>
                </c:pt>
                <c:pt idx="43">
                  <c:v>13575</c:v>
                </c:pt>
                <c:pt idx="44">
                  <c:v>13575</c:v>
                </c:pt>
                <c:pt idx="45">
                  <c:v>13575</c:v>
                </c:pt>
                <c:pt idx="46">
                  <c:v>13575</c:v>
                </c:pt>
                <c:pt idx="47">
                  <c:v>13575</c:v>
                </c:pt>
                <c:pt idx="48">
                  <c:v>13575</c:v>
                </c:pt>
                <c:pt idx="49">
                  <c:v>13575</c:v>
                </c:pt>
                <c:pt idx="50">
                  <c:v>13575</c:v>
                </c:pt>
                <c:pt idx="51">
                  <c:v>13575</c:v>
                </c:pt>
                <c:pt idx="52">
                  <c:v>13575</c:v>
                </c:pt>
                <c:pt idx="53">
                  <c:v>13575</c:v>
                </c:pt>
                <c:pt idx="54">
                  <c:v>13575</c:v>
                </c:pt>
                <c:pt idx="55">
                  <c:v>13575</c:v>
                </c:pt>
                <c:pt idx="56">
                  <c:v>13575</c:v>
                </c:pt>
                <c:pt idx="57">
                  <c:v>13575</c:v>
                </c:pt>
                <c:pt idx="58">
                  <c:v>13575</c:v>
                </c:pt>
                <c:pt idx="59">
                  <c:v>13575</c:v>
                </c:pt>
                <c:pt idx="60">
                  <c:v>13575</c:v>
                </c:pt>
                <c:pt idx="61">
                  <c:v>13575</c:v>
                </c:pt>
                <c:pt idx="62">
                  <c:v>7300</c:v>
                </c:pt>
                <c:pt idx="63">
                  <c:v>4500</c:v>
                </c:pt>
                <c:pt idx="64">
                  <c:v>2250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09-4097-A1B7-07742021C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975504"/>
        <c:axId val="293634976"/>
      </c:barChart>
      <c:dateAx>
        <c:axId val="1569755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34976"/>
        <c:crosses val="autoZero"/>
        <c:auto val="1"/>
        <c:lblOffset val="100"/>
        <c:baseTimeUnit val="months"/>
        <c:majorUnit val="2"/>
        <c:majorTimeUnit val="months"/>
      </c:dateAx>
      <c:valAx>
        <c:axId val="29363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75504"/>
        <c:crosses val="autoZero"/>
        <c:crossBetween val="between"/>
        <c:majorUnit val="1000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Installs, FSWD</a:t>
            </a:r>
            <a:r>
              <a:rPr lang="en-US" b="1" baseline="0"/>
              <a:t> = 48 Mos.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Pilot+48 Mo FSWD Deploy Plan'!$C$10:$C$79</c:f>
              <c:numCache>
                <c:formatCode>[$-409]mmm\-yy;@</c:formatCode>
                <c:ptCount val="70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  <c:pt idx="36">
                  <c:v>45078</c:v>
                </c:pt>
                <c:pt idx="37">
                  <c:v>45108</c:v>
                </c:pt>
                <c:pt idx="38">
                  <c:v>45139</c:v>
                </c:pt>
                <c:pt idx="39">
                  <c:v>45170</c:v>
                </c:pt>
                <c:pt idx="40">
                  <c:v>45200</c:v>
                </c:pt>
                <c:pt idx="41">
                  <c:v>45231</c:v>
                </c:pt>
                <c:pt idx="42">
                  <c:v>45261</c:v>
                </c:pt>
                <c:pt idx="43">
                  <c:v>45292</c:v>
                </c:pt>
                <c:pt idx="44">
                  <c:v>45323</c:v>
                </c:pt>
                <c:pt idx="45">
                  <c:v>45352</c:v>
                </c:pt>
                <c:pt idx="46">
                  <c:v>45383</c:v>
                </c:pt>
                <c:pt idx="47">
                  <c:v>45413</c:v>
                </c:pt>
                <c:pt idx="48">
                  <c:v>45444</c:v>
                </c:pt>
                <c:pt idx="49">
                  <c:v>45474</c:v>
                </c:pt>
                <c:pt idx="50">
                  <c:v>45505</c:v>
                </c:pt>
                <c:pt idx="51">
                  <c:v>45536</c:v>
                </c:pt>
                <c:pt idx="52">
                  <c:v>45566</c:v>
                </c:pt>
                <c:pt idx="53">
                  <c:v>45597</c:v>
                </c:pt>
                <c:pt idx="54">
                  <c:v>45627</c:v>
                </c:pt>
                <c:pt idx="55">
                  <c:v>45658</c:v>
                </c:pt>
                <c:pt idx="56">
                  <c:v>45689</c:v>
                </c:pt>
                <c:pt idx="57">
                  <c:v>45717</c:v>
                </c:pt>
                <c:pt idx="58">
                  <c:v>45748</c:v>
                </c:pt>
                <c:pt idx="59">
                  <c:v>45778</c:v>
                </c:pt>
                <c:pt idx="60">
                  <c:v>45809</c:v>
                </c:pt>
                <c:pt idx="61">
                  <c:v>45839</c:v>
                </c:pt>
                <c:pt idx="62">
                  <c:v>45870</c:v>
                </c:pt>
                <c:pt idx="63">
                  <c:v>45901</c:v>
                </c:pt>
                <c:pt idx="64">
                  <c:v>45931</c:v>
                </c:pt>
                <c:pt idx="65">
                  <c:v>45962</c:v>
                </c:pt>
                <c:pt idx="66">
                  <c:v>45992</c:v>
                </c:pt>
                <c:pt idx="67">
                  <c:v>46023</c:v>
                </c:pt>
                <c:pt idx="68">
                  <c:v>46054</c:v>
                </c:pt>
                <c:pt idx="69">
                  <c:v>46082</c:v>
                </c:pt>
              </c:numCache>
            </c:numRef>
          </c:cat>
          <c:val>
            <c:numRef>
              <c:f>'3. Pilot+48 Mo FSWD Deploy Plan'!$K$10:$K$79</c:f>
              <c:numCache>
                <c:formatCode>#,##0</c:formatCode>
                <c:ptCount val="70"/>
                <c:pt idx="0">
                  <c:v>0</c:v>
                </c:pt>
                <c:pt idx="1">
                  <c:v>100</c:v>
                </c:pt>
                <c:pt idx="2">
                  <c:v>733.33333333333337</c:v>
                </c:pt>
                <c:pt idx="3">
                  <c:v>3500.0000000000005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5100</c:v>
                </c:pt>
                <c:pt idx="18">
                  <c:v>6100</c:v>
                </c:pt>
                <c:pt idx="19">
                  <c:v>8600</c:v>
                </c:pt>
                <c:pt idx="20">
                  <c:v>12600</c:v>
                </c:pt>
                <c:pt idx="21">
                  <c:v>19100</c:v>
                </c:pt>
                <c:pt idx="22">
                  <c:v>28100</c:v>
                </c:pt>
                <c:pt idx="23">
                  <c:v>39600</c:v>
                </c:pt>
                <c:pt idx="24">
                  <c:v>53175</c:v>
                </c:pt>
                <c:pt idx="25">
                  <c:v>66750</c:v>
                </c:pt>
                <c:pt idx="26">
                  <c:v>80325</c:v>
                </c:pt>
                <c:pt idx="27">
                  <c:v>93900</c:v>
                </c:pt>
                <c:pt idx="28">
                  <c:v>107475</c:v>
                </c:pt>
                <c:pt idx="29">
                  <c:v>121050</c:v>
                </c:pt>
                <c:pt idx="30">
                  <c:v>134625</c:v>
                </c:pt>
                <c:pt idx="31">
                  <c:v>148200</c:v>
                </c:pt>
                <c:pt idx="32">
                  <c:v>161775</c:v>
                </c:pt>
                <c:pt idx="33">
                  <c:v>175350</c:v>
                </c:pt>
                <c:pt idx="34">
                  <c:v>188925</c:v>
                </c:pt>
                <c:pt idx="35">
                  <c:v>202500</c:v>
                </c:pt>
                <c:pt idx="36">
                  <c:v>216075</c:v>
                </c:pt>
                <c:pt idx="37">
                  <c:v>229650</c:v>
                </c:pt>
                <c:pt idx="38">
                  <c:v>243225</c:v>
                </c:pt>
                <c:pt idx="39">
                  <c:v>256800</c:v>
                </c:pt>
                <c:pt idx="40">
                  <c:v>270375</c:v>
                </c:pt>
                <c:pt idx="41">
                  <c:v>283950</c:v>
                </c:pt>
                <c:pt idx="42">
                  <c:v>297525</c:v>
                </c:pt>
                <c:pt idx="43">
                  <c:v>311100</c:v>
                </c:pt>
                <c:pt idx="44">
                  <c:v>324675</c:v>
                </c:pt>
                <c:pt idx="45">
                  <c:v>338250</c:v>
                </c:pt>
                <c:pt idx="46">
                  <c:v>351825</c:v>
                </c:pt>
                <c:pt idx="47">
                  <c:v>365400</c:v>
                </c:pt>
                <c:pt idx="48">
                  <c:v>378975</c:v>
                </c:pt>
                <c:pt idx="49">
                  <c:v>392550</c:v>
                </c:pt>
                <c:pt idx="50">
                  <c:v>406125</c:v>
                </c:pt>
                <c:pt idx="51">
                  <c:v>419700</c:v>
                </c:pt>
                <c:pt idx="52">
                  <c:v>433275</c:v>
                </c:pt>
                <c:pt idx="53">
                  <c:v>446850</c:v>
                </c:pt>
                <c:pt idx="54">
                  <c:v>460425</c:v>
                </c:pt>
                <c:pt idx="55">
                  <c:v>474000</c:v>
                </c:pt>
                <c:pt idx="56">
                  <c:v>487575</c:v>
                </c:pt>
                <c:pt idx="57">
                  <c:v>501150</c:v>
                </c:pt>
                <c:pt idx="58">
                  <c:v>514725</c:v>
                </c:pt>
                <c:pt idx="59">
                  <c:v>528300</c:v>
                </c:pt>
                <c:pt idx="60">
                  <c:v>541875</c:v>
                </c:pt>
                <c:pt idx="61">
                  <c:v>555450</c:v>
                </c:pt>
                <c:pt idx="62">
                  <c:v>562750</c:v>
                </c:pt>
                <c:pt idx="63">
                  <c:v>567250</c:v>
                </c:pt>
                <c:pt idx="64">
                  <c:v>569500</c:v>
                </c:pt>
                <c:pt idx="65">
                  <c:v>569500</c:v>
                </c:pt>
                <c:pt idx="66">
                  <c:v>569500</c:v>
                </c:pt>
                <c:pt idx="67">
                  <c:v>569500</c:v>
                </c:pt>
                <c:pt idx="68">
                  <c:v>569500</c:v>
                </c:pt>
                <c:pt idx="69">
                  <c:v>569500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E6-4E68-AB4C-7615C72A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635368"/>
        <c:axId val="293635760"/>
      </c:barChart>
      <c:dateAx>
        <c:axId val="293635368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35760"/>
        <c:crosses val="autoZero"/>
        <c:auto val="1"/>
        <c:lblOffset val="100"/>
        <c:baseTimeUnit val="months"/>
        <c:majorUnit val="2"/>
        <c:majorTimeUnit val="months"/>
      </c:dateAx>
      <c:valAx>
        <c:axId val="29363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3536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584200</xdr:colOff>
      <xdr:row>19</xdr:row>
      <xdr:rowOff>169333</xdr:rowOff>
    </xdr:from>
    <xdr:to>
      <xdr:col>13</xdr:col>
      <xdr:colOff>143933</xdr:colOff>
      <xdr:row>24</xdr:row>
      <xdr:rowOff>67733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xmlns="" id="{6CBFCE46-5FBC-4B72-B455-5E310B888355}"/>
            </a:ext>
          </a:extLst>
        </xdr:cNvPr>
        <xdr:cNvSpPr/>
      </xdr:nvSpPr>
      <xdr:spPr>
        <a:xfrm>
          <a:off x="7010400" y="3683000"/>
          <a:ext cx="1388533" cy="82973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</xdr:colOff>
      <xdr:row>5</xdr:row>
      <xdr:rowOff>42334</xdr:rowOff>
    </xdr:from>
    <xdr:to>
      <xdr:col>4</xdr:col>
      <xdr:colOff>406402</xdr:colOff>
      <xdr:row>7</xdr:row>
      <xdr:rowOff>152399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6933" y="1100667"/>
          <a:ext cx="2980269" cy="4910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15240</xdr:rowOff>
    </xdr:from>
    <xdr:to>
      <xdr:col>11</xdr:col>
      <xdr:colOff>510540</xdr:colOff>
      <xdr:row>21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1CFC63B8-5D3A-41A3-928A-EFE168AAD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24</xdr:row>
      <xdr:rowOff>0</xdr:rowOff>
    </xdr:from>
    <xdr:to>
      <xdr:col>11</xdr:col>
      <xdr:colOff>510540</xdr:colOff>
      <xdr:row>43</xdr:row>
      <xdr:rowOff>167640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948278D-D39B-4E97-962B-F4319C235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97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O90" sqref="O90"/>
    </sheetView>
  </sheetViews>
  <sheetFormatPr defaultColWidth="8.85546875" defaultRowHeight="15" x14ac:dyDescent="0.25"/>
  <cols>
    <col min="1" max="1" width="1.28515625" style="2" customWidth="1"/>
    <col min="2" max="2" width="15" style="2" customWidth="1"/>
    <col min="3" max="3" width="9.7109375" style="195" customWidth="1"/>
    <col min="4" max="4" width="11.140625" style="2" bestFit="1" customWidth="1"/>
    <col min="5" max="6" width="10.140625" style="2" bestFit="1" customWidth="1"/>
    <col min="7" max="9" width="9.140625" style="2" bestFit="1" customWidth="1"/>
    <col min="10" max="13" width="8.7109375" style="2" bestFit="1" customWidth="1"/>
    <col min="14" max="15" width="13.28515625" style="2" customWidth="1"/>
    <col min="16" max="16" width="54.7109375" style="2" customWidth="1"/>
    <col min="17" max="17" width="21.85546875" style="2" customWidth="1"/>
    <col min="18" max="18" width="16.7109375" style="2" customWidth="1"/>
    <col min="19" max="16384" width="8.85546875" style="2"/>
  </cols>
  <sheetData>
    <row r="1" spans="2:16" ht="23.25" x14ac:dyDescent="0.35">
      <c r="B1" s="257" t="s">
        <v>111</v>
      </c>
      <c r="C1" s="194"/>
      <c r="N1" s="237">
        <v>43780</v>
      </c>
      <c r="O1" s="237"/>
    </row>
    <row r="2" spans="2:16" ht="18.75" x14ac:dyDescent="0.3">
      <c r="B2" s="256"/>
      <c r="C2" s="194"/>
    </row>
    <row r="3" spans="2:16" ht="22.15" customHeight="1" x14ac:dyDescent="0.25"/>
    <row r="4" spans="2:16" ht="18.75" x14ac:dyDescent="0.3">
      <c r="B4" s="262" t="s">
        <v>83</v>
      </c>
      <c r="C4" s="261" t="s">
        <v>113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4"/>
    </row>
    <row r="5" spans="2:16" x14ac:dyDescent="0.25">
      <c r="B5" s="234" t="s">
        <v>66</v>
      </c>
      <c r="C5" s="227" t="s">
        <v>88</v>
      </c>
      <c r="D5" s="231" t="s">
        <v>17</v>
      </c>
      <c r="E5" s="231" t="s">
        <v>18</v>
      </c>
      <c r="F5" s="191" t="s">
        <v>19</v>
      </c>
      <c r="G5" s="191" t="s">
        <v>67</v>
      </c>
      <c r="H5" s="191" t="s">
        <v>21</v>
      </c>
      <c r="I5" s="191" t="s">
        <v>22</v>
      </c>
      <c r="J5" s="191" t="s">
        <v>23</v>
      </c>
      <c r="K5" s="191" t="s">
        <v>68</v>
      </c>
      <c r="L5" s="191" t="s">
        <v>69</v>
      </c>
      <c r="M5" s="191" t="s">
        <v>70</v>
      </c>
      <c r="N5" s="191" t="s">
        <v>97</v>
      </c>
      <c r="O5" s="191" t="s">
        <v>117</v>
      </c>
    </row>
    <row r="6" spans="2:16" x14ac:dyDescent="0.25">
      <c r="B6" s="215" t="s">
        <v>84</v>
      </c>
      <c r="C6" s="216"/>
      <c r="D6" s="207">
        <f>SUM(D$38:D$43)+D$93</f>
        <v>193304.22318478406</v>
      </c>
      <c r="E6" s="207">
        <f t="shared" ref="E6:M6" si="0">SUM(E$38:E$43)+E$93</f>
        <v>10055.227911864007</v>
      </c>
      <c r="F6" s="207">
        <f t="shared" si="0"/>
        <v>6492.4657680000018</v>
      </c>
      <c r="G6" s="207">
        <f t="shared" si="0"/>
        <v>3529.1273359999996</v>
      </c>
      <c r="H6" s="207">
        <f t="shared" si="0"/>
        <v>2038.4553739999983</v>
      </c>
      <c r="I6" s="207">
        <f t="shared" si="0"/>
        <v>317.84608299999991</v>
      </c>
      <c r="J6" s="207">
        <f t="shared" si="0"/>
        <v>145.36193700000001</v>
      </c>
      <c r="K6" s="207">
        <f t="shared" si="0"/>
        <v>87.393042000000037</v>
      </c>
      <c r="L6" s="207">
        <f t="shared" si="0"/>
        <v>23.848227000000009</v>
      </c>
      <c r="M6" s="207">
        <f t="shared" si="0"/>
        <v>0.96963199999999716</v>
      </c>
      <c r="N6" s="207">
        <f>SUM(N$38:N$43)+N$93</f>
        <v>215994.91849564807</v>
      </c>
      <c r="O6" s="207">
        <f>SUM(D6:H6)</f>
        <v>215419.49957464807</v>
      </c>
      <c r="P6" s="236" t="s">
        <v>104</v>
      </c>
    </row>
    <row r="7" spans="2:16" x14ac:dyDescent="0.25">
      <c r="B7" s="208" t="s">
        <v>85</v>
      </c>
      <c r="C7" s="206"/>
      <c r="D7" s="235">
        <f>D$37+SUM(D$44:D$91)</f>
        <v>305156</v>
      </c>
      <c r="E7" s="235">
        <f t="shared" ref="E7:M7" si="1">E$37+SUM(E$44:E$91)</f>
        <v>27085</v>
      </c>
      <c r="F7" s="235">
        <f t="shared" si="1"/>
        <v>9501</v>
      </c>
      <c r="G7" s="235">
        <f t="shared" si="1"/>
        <v>5350</v>
      </c>
      <c r="H7" s="235">
        <f t="shared" si="1"/>
        <v>4336</v>
      </c>
      <c r="I7" s="235">
        <f t="shared" si="1"/>
        <v>901</v>
      </c>
      <c r="J7" s="235">
        <f t="shared" si="1"/>
        <v>717</v>
      </c>
      <c r="K7" s="235">
        <f t="shared" si="1"/>
        <v>368</v>
      </c>
      <c r="L7" s="235">
        <f t="shared" si="1"/>
        <v>107</v>
      </c>
      <c r="M7" s="235">
        <f t="shared" si="1"/>
        <v>32</v>
      </c>
      <c r="N7" s="235">
        <f>SUM(D7:M7)</f>
        <v>353553</v>
      </c>
      <c r="O7" s="235">
        <f t="shared" ref="O7:O8" si="2">SUM(D7:H7)</f>
        <v>351428</v>
      </c>
    </row>
    <row r="8" spans="2:16" x14ac:dyDescent="0.25">
      <c r="B8" s="229" t="s">
        <v>86</v>
      </c>
      <c r="C8" s="230" t="s">
        <v>87</v>
      </c>
      <c r="D8" s="193">
        <f>SUM(D$37:D$91)+D$93</f>
        <v>498460.22318478406</v>
      </c>
      <c r="E8" s="193">
        <f t="shared" ref="E8:N8" si="3">SUM(E$37:E$91)+E$93</f>
        <v>37140.227911864007</v>
      </c>
      <c r="F8" s="193">
        <f t="shared" si="3"/>
        <v>15993.465768000002</v>
      </c>
      <c r="G8" s="193">
        <f t="shared" si="3"/>
        <v>8879.1273359999996</v>
      </c>
      <c r="H8" s="193">
        <f t="shared" si="3"/>
        <v>6374.4553739999983</v>
      </c>
      <c r="I8" s="193">
        <f t="shared" si="3"/>
        <v>1218.8460829999999</v>
      </c>
      <c r="J8" s="193">
        <f t="shared" si="3"/>
        <v>862.36193700000001</v>
      </c>
      <c r="K8" s="193">
        <f t="shared" si="3"/>
        <v>455.39304200000004</v>
      </c>
      <c r="L8" s="193">
        <f t="shared" si="3"/>
        <v>130.84822700000001</v>
      </c>
      <c r="M8" s="193">
        <f t="shared" si="3"/>
        <v>32.969631999999997</v>
      </c>
      <c r="N8" s="193">
        <f t="shared" si="3"/>
        <v>569547.91849564807</v>
      </c>
      <c r="O8" s="193">
        <f t="shared" si="2"/>
        <v>566847.4995746481</v>
      </c>
    </row>
    <row r="9" spans="2:16" ht="25.15" customHeight="1" x14ac:dyDescent="0.25"/>
    <row r="10" spans="2:16" ht="25.15" customHeight="1" x14ac:dyDescent="0.35">
      <c r="B10" s="257" t="s">
        <v>112</v>
      </c>
    </row>
    <row r="11" spans="2:16" ht="10.9" customHeight="1" x14ac:dyDescent="0.35">
      <c r="B11" s="257"/>
    </row>
    <row r="12" spans="2:16" ht="18.75" x14ac:dyDescent="0.3">
      <c r="B12" s="265" t="s">
        <v>76</v>
      </c>
      <c r="C12" s="217" t="s">
        <v>90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9"/>
      <c r="P12" s="260" t="s">
        <v>75</v>
      </c>
    </row>
    <row r="13" spans="2:16" x14ac:dyDescent="0.25">
      <c r="B13" s="234" t="s">
        <v>66</v>
      </c>
      <c r="C13" s="227" t="s">
        <v>88</v>
      </c>
      <c r="D13" s="231" t="s">
        <v>17</v>
      </c>
      <c r="E13" s="231" t="s">
        <v>18</v>
      </c>
      <c r="F13" s="191" t="s">
        <v>19</v>
      </c>
      <c r="G13" s="191" t="s">
        <v>67</v>
      </c>
      <c r="H13" s="191" t="s">
        <v>21</v>
      </c>
      <c r="I13" s="191" t="s">
        <v>22</v>
      </c>
      <c r="J13" s="191" t="s">
        <v>23</v>
      </c>
      <c r="K13" s="191" t="s">
        <v>68</v>
      </c>
      <c r="L13" s="191" t="s">
        <v>69</v>
      </c>
      <c r="M13" s="191" t="s">
        <v>70</v>
      </c>
      <c r="N13" s="191" t="s">
        <v>97</v>
      </c>
      <c r="O13" s="191" t="s">
        <v>117</v>
      </c>
      <c r="P13" s="233"/>
    </row>
    <row r="14" spans="2:16" x14ac:dyDescent="0.25">
      <c r="B14" s="229" t="s">
        <v>86</v>
      </c>
      <c r="C14" s="230" t="s">
        <v>87</v>
      </c>
      <c r="D14" s="193">
        <f>SUM(D$37:D$91)+D$93</f>
        <v>498460.22318478406</v>
      </c>
      <c r="E14" s="193">
        <f t="shared" ref="E14:N14" si="4">SUM(E$37:E$91)+E$93</f>
        <v>37140.227911864007</v>
      </c>
      <c r="F14" s="193">
        <f t="shared" si="4"/>
        <v>15993.465768000002</v>
      </c>
      <c r="G14" s="193">
        <f t="shared" si="4"/>
        <v>8879.1273359999996</v>
      </c>
      <c r="H14" s="193">
        <f t="shared" si="4"/>
        <v>6374.4553739999983</v>
      </c>
      <c r="I14" s="193">
        <f t="shared" si="4"/>
        <v>1218.8460829999999</v>
      </c>
      <c r="J14" s="193">
        <f t="shared" si="4"/>
        <v>862.36193700000001</v>
      </c>
      <c r="K14" s="193">
        <f t="shared" si="4"/>
        <v>455.39304200000004</v>
      </c>
      <c r="L14" s="193">
        <f t="shared" si="4"/>
        <v>130.84822700000001</v>
      </c>
      <c r="M14" s="193">
        <f t="shared" si="4"/>
        <v>32.969631999999997</v>
      </c>
      <c r="N14" s="193">
        <f t="shared" si="4"/>
        <v>569547.91849564807</v>
      </c>
      <c r="O14" s="193">
        <f t="shared" ref="O14" si="5">SUM(D14:H14)</f>
        <v>566847.4995746481</v>
      </c>
      <c r="P14" s="228" t="s">
        <v>102</v>
      </c>
    </row>
    <row r="15" spans="2:16" ht="25.15" customHeight="1" x14ac:dyDescent="0.25"/>
    <row r="16" spans="2:16" ht="19.899999999999999" customHeight="1" x14ac:dyDescent="0.3">
      <c r="B16" s="343" t="s">
        <v>77</v>
      </c>
      <c r="C16" s="220" t="s">
        <v>94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343" t="s">
        <v>79</v>
      </c>
    </row>
    <row r="17" spans="2:16" ht="18.75" x14ac:dyDescent="0.3">
      <c r="B17" s="344"/>
      <c r="C17" s="223" t="s">
        <v>92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5"/>
      <c r="P17" s="345"/>
    </row>
    <row r="18" spans="2:16" x14ac:dyDescent="0.25">
      <c r="B18" s="234" t="s">
        <v>66</v>
      </c>
      <c r="C18" s="227" t="s">
        <v>88</v>
      </c>
      <c r="D18" s="231" t="s">
        <v>17</v>
      </c>
      <c r="E18" s="231" t="s">
        <v>18</v>
      </c>
      <c r="F18" s="191" t="s">
        <v>19</v>
      </c>
      <c r="G18" s="191" t="s">
        <v>67</v>
      </c>
      <c r="H18" s="191" t="s">
        <v>21</v>
      </c>
      <c r="I18" s="191" t="s">
        <v>22</v>
      </c>
      <c r="J18" s="191" t="s">
        <v>23</v>
      </c>
      <c r="K18" s="191" t="s">
        <v>68</v>
      </c>
      <c r="L18" s="191" t="s">
        <v>69</v>
      </c>
      <c r="M18" s="191" t="s">
        <v>70</v>
      </c>
      <c r="N18" s="191" t="s">
        <v>97</v>
      </c>
      <c r="O18" s="191" t="s">
        <v>117</v>
      </c>
      <c r="P18" s="233"/>
    </row>
    <row r="19" spans="2:16" x14ac:dyDescent="0.25">
      <c r="B19" s="215" t="s">
        <v>84</v>
      </c>
      <c r="C19" s="216"/>
      <c r="D19" s="207">
        <f>SUM(D$38:D$43)+D$93</f>
        <v>193304.22318478406</v>
      </c>
      <c r="E19" s="207">
        <f t="shared" ref="E19:M19" si="6">SUM(E$38:E$43)+E$93</f>
        <v>10055.227911864007</v>
      </c>
      <c r="F19" s="207">
        <f t="shared" si="6"/>
        <v>6492.4657680000018</v>
      </c>
      <c r="G19" s="207">
        <f t="shared" si="6"/>
        <v>3529.1273359999996</v>
      </c>
      <c r="H19" s="207">
        <f t="shared" si="6"/>
        <v>2038.4553739999983</v>
      </c>
      <c r="I19" s="207">
        <f t="shared" si="6"/>
        <v>317.84608299999991</v>
      </c>
      <c r="J19" s="207">
        <f t="shared" si="6"/>
        <v>145.36193700000001</v>
      </c>
      <c r="K19" s="207">
        <f t="shared" si="6"/>
        <v>87.393042000000037</v>
      </c>
      <c r="L19" s="207">
        <f t="shared" si="6"/>
        <v>23.848227000000009</v>
      </c>
      <c r="M19" s="207">
        <f t="shared" si="6"/>
        <v>0.96963199999999716</v>
      </c>
      <c r="N19" s="207">
        <f>SUM(N$38:N$43)+N$93</f>
        <v>215994.91849564807</v>
      </c>
      <c r="O19" s="207"/>
      <c r="P19" s="215" t="s">
        <v>105</v>
      </c>
    </row>
    <row r="20" spans="2:16" x14ac:dyDescent="0.25">
      <c r="B20" s="208" t="s">
        <v>85</v>
      </c>
      <c r="C20" s="206"/>
      <c r="D20" s="235">
        <f>D$37+SUM(D$44:D$91)</f>
        <v>305156</v>
      </c>
      <c r="E20" s="235">
        <f t="shared" ref="E20:M20" si="7">E$37+SUM(E$44:E$91)</f>
        <v>27085</v>
      </c>
      <c r="F20" s="235">
        <f t="shared" si="7"/>
        <v>9501</v>
      </c>
      <c r="G20" s="235">
        <f t="shared" si="7"/>
        <v>5350</v>
      </c>
      <c r="H20" s="235">
        <f t="shared" si="7"/>
        <v>4336</v>
      </c>
      <c r="I20" s="235">
        <f t="shared" si="7"/>
        <v>901</v>
      </c>
      <c r="J20" s="235">
        <f t="shared" si="7"/>
        <v>717</v>
      </c>
      <c r="K20" s="235">
        <f t="shared" si="7"/>
        <v>368</v>
      </c>
      <c r="L20" s="235">
        <f t="shared" si="7"/>
        <v>107</v>
      </c>
      <c r="M20" s="235">
        <f t="shared" si="7"/>
        <v>32</v>
      </c>
      <c r="N20" s="235">
        <f>SUM(D20:M20)</f>
        <v>353553</v>
      </c>
      <c r="O20" s="235"/>
      <c r="P20" s="208" t="s">
        <v>103</v>
      </c>
    </row>
    <row r="21" spans="2:16" x14ac:dyDescent="0.25">
      <c r="B21" s="229" t="s">
        <v>86</v>
      </c>
      <c r="C21" s="230" t="s">
        <v>87</v>
      </c>
      <c r="D21" s="193">
        <f>SUM(D$37:D$91)+D$93</f>
        <v>498460.22318478406</v>
      </c>
      <c r="E21" s="193">
        <f t="shared" ref="E21:N21" si="8">SUM(E$37:E$91)+E$93</f>
        <v>37140.227911864007</v>
      </c>
      <c r="F21" s="193">
        <f t="shared" si="8"/>
        <v>15993.465768000002</v>
      </c>
      <c r="G21" s="193">
        <f t="shared" si="8"/>
        <v>8879.1273359999996</v>
      </c>
      <c r="H21" s="193">
        <f t="shared" si="8"/>
        <v>6374.4553739999983</v>
      </c>
      <c r="I21" s="193">
        <f t="shared" si="8"/>
        <v>1218.8460829999999</v>
      </c>
      <c r="J21" s="193">
        <f t="shared" si="8"/>
        <v>862.36193700000001</v>
      </c>
      <c r="K21" s="193">
        <f t="shared" si="8"/>
        <v>455.39304200000004</v>
      </c>
      <c r="L21" s="193">
        <f t="shared" si="8"/>
        <v>130.84822700000001</v>
      </c>
      <c r="M21" s="193">
        <f t="shared" si="8"/>
        <v>32.969631999999997</v>
      </c>
      <c r="N21" s="193">
        <f t="shared" si="8"/>
        <v>569547.91849564807</v>
      </c>
      <c r="O21" s="193">
        <f t="shared" ref="O21" si="9">SUM(D21:H21)</f>
        <v>566847.4995746481</v>
      </c>
      <c r="P21" s="232"/>
    </row>
    <row r="22" spans="2:16" ht="25.15" customHeight="1" x14ac:dyDescent="0.25"/>
    <row r="23" spans="2:16" ht="19.899999999999999" customHeight="1" x14ac:dyDescent="0.3">
      <c r="B23" s="343" t="s">
        <v>78</v>
      </c>
      <c r="C23" s="220" t="s">
        <v>94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2"/>
      <c r="P23" s="343" t="s">
        <v>80</v>
      </c>
    </row>
    <row r="24" spans="2:16" ht="18.75" x14ac:dyDescent="0.3">
      <c r="B24" s="344"/>
      <c r="C24" s="223" t="s">
        <v>91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  <c r="P24" s="345"/>
    </row>
    <row r="25" spans="2:16" x14ac:dyDescent="0.25">
      <c r="B25" s="234" t="s">
        <v>66</v>
      </c>
      <c r="C25" s="227" t="s">
        <v>88</v>
      </c>
      <c r="D25" s="231" t="s">
        <v>17</v>
      </c>
      <c r="E25" s="231" t="s">
        <v>18</v>
      </c>
      <c r="F25" s="191" t="s">
        <v>19</v>
      </c>
      <c r="G25" s="191" t="s">
        <v>67</v>
      </c>
      <c r="H25" s="191" t="s">
        <v>21</v>
      </c>
      <c r="I25" s="191" t="s">
        <v>22</v>
      </c>
      <c r="J25" s="191" t="s">
        <v>23</v>
      </c>
      <c r="K25" s="191" t="s">
        <v>68</v>
      </c>
      <c r="L25" s="191" t="s">
        <v>69</v>
      </c>
      <c r="M25" s="191" t="s">
        <v>70</v>
      </c>
      <c r="N25" s="191" t="s">
        <v>97</v>
      </c>
      <c r="O25" s="191" t="s">
        <v>117</v>
      </c>
      <c r="P25" s="233"/>
    </row>
    <row r="26" spans="2:16" x14ac:dyDescent="0.25">
      <c r="B26" s="215" t="s">
        <v>84</v>
      </c>
      <c r="C26" s="216"/>
      <c r="D26" s="207">
        <f>SUM(D$38:D$43)+D$93</f>
        <v>193304.22318478406</v>
      </c>
      <c r="E26" s="207">
        <f t="shared" ref="E26:M26" si="10">SUM(E$38:E$43)+E$93</f>
        <v>10055.227911864007</v>
      </c>
      <c r="F26" s="207">
        <f t="shared" si="10"/>
        <v>6492.4657680000018</v>
      </c>
      <c r="G26" s="207">
        <f t="shared" si="10"/>
        <v>3529.1273359999996</v>
      </c>
      <c r="H26" s="207">
        <f t="shared" si="10"/>
        <v>2038.4553739999983</v>
      </c>
      <c r="I26" s="207">
        <f t="shared" si="10"/>
        <v>317.84608299999991</v>
      </c>
      <c r="J26" s="207">
        <f t="shared" si="10"/>
        <v>145.36193700000001</v>
      </c>
      <c r="K26" s="207">
        <f t="shared" si="10"/>
        <v>87.393042000000037</v>
      </c>
      <c r="L26" s="207">
        <f t="shared" si="10"/>
        <v>23.848227000000009</v>
      </c>
      <c r="M26" s="207">
        <f t="shared" si="10"/>
        <v>0.96963199999999716</v>
      </c>
      <c r="N26" s="207">
        <f>SUM(N$38:N$43)+N$93</f>
        <v>215994.91849564807</v>
      </c>
      <c r="O26" s="207"/>
      <c r="P26" s="215" t="s">
        <v>105</v>
      </c>
    </row>
    <row r="27" spans="2:16" x14ac:dyDescent="0.25">
      <c r="B27" s="208" t="s">
        <v>85</v>
      </c>
      <c r="C27" s="206"/>
      <c r="D27" s="235">
        <f>D$37+SUM(D$44:D$91)</f>
        <v>305156</v>
      </c>
      <c r="E27" s="235">
        <f t="shared" ref="E27:M27" si="11">E$37+SUM(E$44:E$91)</f>
        <v>27085</v>
      </c>
      <c r="F27" s="235">
        <f t="shared" si="11"/>
        <v>9501</v>
      </c>
      <c r="G27" s="235">
        <f t="shared" si="11"/>
        <v>5350</v>
      </c>
      <c r="H27" s="235">
        <f t="shared" si="11"/>
        <v>4336</v>
      </c>
      <c r="I27" s="235">
        <f t="shared" si="11"/>
        <v>901</v>
      </c>
      <c r="J27" s="235">
        <f t="shared" si="11"/>
        <v>717</v>
      </c>
      <c r="K27" s="235">
        <f t="shared" si="11"/>
        <v>368</v>
      </c>
      <c r="L27" s="235">
        <f t="shared" si="11"/>
        <v>107</v>
      </c>
      <c r="M27" s="235">
        <f t="shared" si="11"/>
        <v>32</v>
      </c>
      <c r="N27" s="235">
        <f>SUM(D27:M27)</f>
        <v>353553</v>
      </c>
      <c r="O27" s="235"/>
      <c r="P27" s="208" t="s">
        <v>95</v>
      </c>
    </row>
    <row r="28" spans="2:16" x14ac:dyDescent="0.25">
      <c r="B28" s="229" t="s">
        <v>86</v>
      </c>
      <c r="C28" s="230" t="s">
        <v>87</v>
      </c>
      <c r="D28" s="193">
        <f>SUM(D$37:D$91)+D$93</f>
        <v>498460.22318478406</v>
      </c>
      <c r="E28" s="193">
        <f t="shared" ref="E28:N28" si="12">SUM(E$37:E$91)+E$93</f>
        <v>37140.227911864007</v>
      </c>
      <c r="F28" s="193">
        <f t="shared" si="12"/>
        <v>15993.465768000002</v>
      </c>
      <c r="G28" s="193">
        <f t="shared" si="12"/>
        <v>8879.1273359999996</v>
      </c>
      <c r="H28" s="193">
        <f t="shared" si="12"/>
        <v>6374.4553739999983</v>
      </c>
      <c r="I28" s="193">
        <f t="shared" si="12"/>
        <v>1218.8460829999999</v>
      </c>
      <c r="J28" s="193">
        <f t="shared" si="12"/>
        <v>862.36193700000001</v>
      </c>
      <c r="K28" s="193">
        <f t="shared" si="12"/>
        <v>455.39304200000004</v>
      </c>
      <c r="L28" s="193">
        <f t="shared" si="12"/>
        <v>130.84822700000001</v>
      </c>
      <c r="M28" s="193">
        <f t="shared" si="12"/>
        <v>32.969631999999997</v>
      </c>
      <c r="N28" s="193">
        <f t="shared" si="12"/>
        <v>569547.91849564807</v>
      </c>
      <c r="O28" s="193">
        <f t="shared" ref="O28" si="13">SUM(D28:H28)</f>
        <v>566847.4995746481</v>
      </c>
      <c r="P28" s="232"/>
    </row>
    <row r="29" spans="2:16" s="212" customFormat="1" ht="25.15" customHeight="1" x14ac:dyDescent="0.25">
      <c r="B29" s="209"/>
      <c r="C29" s="210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4"/>
    </row>
    <row r="30" spans="2:16" ht="18.75" x14ac:dyDescent="0.3">
      <c r="B30" s="265" t="s">
        <v>81</v>
      </c>
      <c r="C30" s="217" t="s">
        <v>93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  <c r="O30" s="222"/>
      <c r="P30" s="260" t="s">
        <v>82</v>
      </c>
    </row>
    <row r="31" spans="2:16" x14ac:dyDescent="0.25">
      <c r="B31" s="234" t="s">
        <v>66</v>
      </c>
      <c r="C31" s="227" t="s">
        <v>88</v>
      </c>
      <c r="D31" s="231" t="s">
        <v>17</v>
      </c>
      <c r="E31" s="231" t="s">
        <v>18</v>
      </c>
      <c r="F31" s="191" t="s">
        <v>19</v>
      </c>
      <c r="G31" s="191" t="s">
        <v>67</v>
      </c>
      <c r="H31" s="191" t="s">
        <v>21</v>
      </c>
      <c r="I31" s="191" t="s">
        <v>22</v>
      </c>
      <c r="J31" s="191" t="s">
        <v>23</v>
      </c>
      <c r="K31" s="191" t="s">
        <v>68</v>
      </c>
      <c r="L31" s="191" t="s">
        <v>69</v>
      </c>
      <c r="M31" s="191" t="s">
        <v>70</v>
      </c>
      <c r="N31" s="191" t="s">
        <v>97</v>
      </c>
      <c r="O31" s="191" t="s">
        <v>117</v>
      </c>
      <c r="P31" s="233"/>
    </row>
    <row r="32" spans="2:16" x14ac:dyDescent="0.25">
      <c r="B32" s="229" t="s">
        <v>86</v>
      </c>
      <c r="C32" s="230" t="s">
        <v>87</v>
      </c>
      <c r="D32" s="193">
        <f>SUM(D$37:D$91)+D$93</f>
        <v>498460.22318478406</v>
      </c>
      <c r="E32" s="193">
        <f t="shared" ref="E32:N32" si="14">SUM(E$37:E$91)+E$93</f>
        <v>37140.227911864007</v>
      </c>
      <c r="F32" s="193">
        <f t="shared" si="14"/>
        <v>15993.465768000002</v>
      </c>
      <c r="G32" s="193">
        <f t="shared" si="14"/>
        <v>8879.1273359999996</v>
      </c>
      <c r="H32" s="193">
        <f t="shared" si="14"/>
        <v>6374.4553739999983</v>
      </c>
      <c r="I32" s="193">
        <f t="shared" si="14"/>
        <v>1218.8460829999999</v>
      </c>
      <c r="J32" s="193">
        <f t="shared" si="14"/>
        <v>862.36193700000001</v>
      </c>
      <c r="K32" s="193">
        <f t="shared" si="14"/>
        <v>455.39304200000004</v>
      </c>
      <c r="L32" s="193">
        <f t="shared" si="14"/>
        <v>130.84822700000001</v>
      </c>
      <c r="M32" s="193">
        <f t="shared" si="14"/>
        <v>32.969631999999997</v>
      </c>
      <c r="N32" s="193">
        <f t="shared" si="14"/>
        <v>569547.91849564807</v>
      </c>
      <c r="O32" s="193">
        <f t="shared" ref="O32" si="15">SUM(D32:H32)</f>
        <v>566847.4995746481</v>
      </c>
      <c r="P32" s="228" t="s">
        <v>96</v>
      </c>
    </row>
    <row r="33" spans="2:16" s="212" customFormat="1" ht="25.15" customHeight="1" x14ac:dyDescent="0.25">
      <c r="B33" s="32"/>
      <c r="C33" s="213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</row>
    <row r="34" spans="2:16" s="212" customFormat="1" x14ac:dyDescent="0.25">
      <c r="B34" s="32"/>
      <c r="C34" s="213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  <row r="35" spans="2:16" s="212" customFormat="1" ht="18.75" x14ac:dyDescent="0.3">
      <c r="B35" s="262" t="s">
        <v>83</v>
      </c>
      <c r="C35" s="261" t="s">
        <v>89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4"/>
    </row>
    <row r="36" spans="2:16" s="212" customFormat="1" ht="15.75" thickBot="1" x14ac:dyDescent="0.3">
      <c r="B36" s="242" t="s">
        <v>66</v>
      </c>
      <c r="C36" s="243" t="s">
        <v>88</v>
      </c>
      <c r="D36" s="244" t="s">
        <v>17</v>
      </c>
      <c r="E36" s="244" t="s">
        <v>18</v>
      </c>
      <c r="F36" s="245" t="s">
        <v>19</v>
      </c>
      <c r="G36" s="245" t="s">
        <v>67</v>
      </c>
      <c r="H36" s="245" t="s">
        <v>21</v>
      </c>
      <c r="I36" s="245" t="s">
        <v>22</v>
      </c>
      <c r="J36" s="245" t="s">
        <v>23</v>
      </c>
      <c r="K36" s="245" t="s">
        <v>68</v>
      </c>
      <c r="L36" s="245" t="s">
        <v>69</v>
      </c>
      <c r="M36" s="245" t="s">
        <v>70</v>
      </c>
      <c r="N36" s="245" t="s">
        <v>97</v>
      </c>
      <c r="O36" s="191" t="s">
        <v>117</v>
      </c>
    </row>
    <row r="37" spans="2:16" ht="16.5" thickTop="1" thickBot="1" x14ac:dyDescent="0.3">
      <c r="B37" s="246" t="s">
        <v>71</v>
      </c>
      <c r="C37" s="247" t="s">
        <v>106</v>
      </c>
      <c r="D37" s="248">
        <v>45967</v>
      </c>
      <c r="E37" s="248">
        <v>9345</v>
      </c>
      <c r="F37" s="248">
        <v>1302</v>
      </c>
      <c r="G37" s="248">
        <v>488</v>
      </c>
      <c r="H37" s="248">
        <v>84</v>
      </c>
      <c r="I37" s="248">
        <v>67</v>
      </c>
      <c r="J37" s="248">
        <v>54</v>
      </c>
      <c r="K37" s="248">
        <v>17</v>
      </c>
      <c r="L37" s="248">
        <v>7</v>
      </c>
      <c r="M37" s="248"/>
      <c r="N37" s="249">
        <v>57331</v>
      </c>
      <c r="O37" s="249">
        <f>SUM(D37:H37)</f>
        <v>57186</v>
      </c>
      <c r="P37" s="236" t="s">
        <v>72</v>
      </c>
    </row>
    <row r="38" spans="2:16" ht="15.75" thickTop="1" x14ac:dyDescent="0.25">
      <c r="B38" s="197">
        <v>0</v>
      </c>
      <c r="C38" s="198">
        <v>2019</v>
      </c>
      <c r="D38" s="199">
        <v>21337</v>
      </c>
      <c r="E38" s="199"/>
      <c r="F38" s="199">
        <v>619</v>
      </c>
      <c r="G38" s="199">
        <v>215</v>
      </c>
      <c r="H38" s="199">
        <v>240</v>
      </c>
      <c r="I38" s="199">
        <v>42</v>
      </c>
      <c r="J38" s="199">
        <v>29</v>
      </c>
      <c r="K38" s="199">
        <v>14</v>
      </c>
      <c r="L38" s="199">
        <v>2</v>
      </c>
      <c r="M38" s="199"/>
      <c r="N38" s="200">
        <v>22498</v>
      </c>
      <c r="O38" s="200">
        <f t="shared" ref="O38:O91" si="16">SUM(D38:H38)</f>
        <v>22411</v>
      </c>
    </row>
    <row r="39" spans="2:16" x14ac:dyDescent="0.25">
      <c r="B39" s="191">
        <v>1</v>
      </c>
      <c r="C39" s="196">
        <f>C38-1</f>
        <v>2018</v>
      </c>
      <c r="D39" s="192">
        <v>20825</v>
      </c>
      <c r="E39" s="192">
        <v>1</v>
      </c>
      <c r="F39" s="192">
        <v>607</v>
      </c>
      <c r="G39" s="192">
        <v>400</v>
      </c>
      <c r="H39" s="192">
        <v>230</v>
      </c>
      <c r="I39" s="192">
        <v>33</v>
      </c>
      <c r="J39" s="192">
        <v>10</v>
      </c>
      <c r="K39" s="192">
        <v>10</v>
      </c>
      <c r="L39" s="192">
        <v>1</v>
      </c>
      <c r="M39" s="192"/>
      <c r="N39" s="193">
        <v>22117</v>
      </c>
      <c r="O39" s="193">
        <f t="shared" si="16"/>
        <v>22063</v>
      </c>
    </row>
    <row r="40" spans="2:16" x14ac:dyDescent="0.25">
      <c r="B40" s="191">
        <v>2</v>
      </c>
      <c r="C40" s="196">
        <f t="shared" ref="C40:C91" si="17">C39-1</f>
        <v>2017</v>
      </c>
      <c r="D40" s="192">
        <v>22940</v>
      </c>
      <c r="E40" s="192">
        <v>3</v>
      </c>
      <c r="F40" s="192">
        <v>1027</v>
      </c>
      <c r="G40" s="192">
        <v>856</v>
      </c>
      <c r="H40" s="192">
        <v>105</v>
      </c>
      <c r="I40" s="192">
        <v>2</v>
      </c>
      <c r="J40" s="192">
        <v>17</v>
      </c>
      <c r="K40" s="192">
        <v>13</v>
      </c>
      <c r="L40" s="192">
        <v>2</v>
      </c>
      <c r="M40" s="192"/>
      <c r="N40" s="193">
        <v>24965</v>
      </c>
      <c r="O40" s="193">
        <f t="shared" si="16"/>
        <v>24931</v>
      </c>
    </row>
    <row r="41" spans="2:16" x14ac:dyDescent="0.25">
      <c r="B41" s="191">
        <v>3</v>
      </c>
      <c r="C41" s="196">
        <f t="shared" si="17"/>
        <v>2016</v>
      </c>
      <c r="D41" s="192">
        <v>21733</v>
      </c>
      <c r="E41" s="192">
        <v>448</v>
      </c>
      <c r="F41" s="192">
        <v>920</v>
      </c>
      <c r="G41" s="192">
        <v>619</v>
      </c>
      <c r="H41" s="192">
        <v>228</v>
      </c>
      <c r="I41" s="192">
        <v>59</v>
      </c>
      <c r="J41" s="192">
        <v>8</v>
      </c>
      <c r="K41" s="192">
        <v>18</v>
      </c>
      <c r="L41" s="192">
        <v>6</v>
      </c>
      <c r="M41" s="192"/>
      <c r="N41" s="193">
        <v>24039</v>
      </c>
      <c r="O41" s="193">
        <f t="shared" si="16"/>
        <v>23948</v>
      </c>
    </row>
    <row r="42" spans="2:16" x14ac:dyDescent="0.25">
      <c r="B42" s="191">
        <v>4</v>
      </c>
      <c r="C42" s="196">
        <f t="shared" si="17"/>
        <v>2015</v>
      </c>
      <c r="D42" s="192">
        <v>43605</v>
      </c>
      <c r="E42" s="192">
        <v>5937</v>
      </c>
      <c r="F42" s="192">
        <v>1572</v>
      </c>
      <c r="G42" s="192">
        <v>703</v>
      </c>
      <c r="H42" s="192">
        <v>205</v>
      </c>
      <c r="I42" s="192">
        <v>85</v>
      </c>
      <c r="J42" s="192">
        <v>49</v>
      </c>
      <c r="K42" s="192">
        <v>9</v>
      </c>
      <c r="L42" s="192">
        <v>9</v>
      </c>
      <c r="M42" s="192"/>
      <c r="N42" s="193">
        <v>52174</v>
      </c>
      <c r="O42" s="193">
        <f t="shared" si="16"/>
        <v>52022</v>
      </c>
    </row>
    <row r="43" spans="2:16" ht="15.75" thickBot="1" x14ac:dyDescent="0.3">
      <c r="B43" s="201">
        <v>5</v>
      </c>
      <c r="C43" s="202">
        <f t="shared" si="17"/>
        <v>2014</v>
      </c>
      <c r="D43" s="203">
        <v>31362</v>
      </c>
      <c r="E43" s="203">
        <v>1319</v>
      </c>
      <c r="F43" s="203">
        <v>825</v>
      </c>
      <c r="G43" s="203">
        <v>224</v>
      </c>
      <c r="H43" s="203">
        <v>752</v>
      </c>
      <c r="I43" s="203">
        <v>61</v>
      </c>
      <c r="J43" s="203">
        <v>7</v>
      </c>
      <c r="K43" s="203">
        <v>10</v>
      </c>
      <c r="L43" s="203"/>
      <c r="M43" s="203"/>
      <c r="N43" s="204">
        <v>34560</v>
      </c>
      <c r="O43" s="204">
        <f t="shared" si="16"/>
        <v>34482</v>
      </c>
    </row>
    <row r="44" spans="2:16" ht="15.75" thickTop="1" x14ac:dyDescent="0.25">
      <c r="B44" s="197">
        <v>6</v>
      </c>
      <c r="C44" s="198">
        <f t="shared" si="17"/>
        <v>2013</v>
      </c>
      <c r="D44" s="199">
        <v>40888</v>
      </c>
      <c r="E44" s="199">
        <v>3076</v>
      </c>
      <c r="F44" s="199">
        <v>1155</v>
      </c>
      <c r="G44" s="199">
        <v>737</v>
      </c>
      <c r="H44" s="199">
        <v>742</v>
      </c>
      <c r="I44" s="199">
        <v>52</v>
      </c>
      <c r="J44" s="199">
        <v>69</v>
      </c>
      <c r="K44" s="199">
        <v>15</v>
      </c>
      <c r="L44" s="199">
        <v>10</v>
      </c>
      <c r="M44" s="199">
        <v>2</v>
      </c>
      <c r="N44" s="200">
        <v>46746</v>
      </c>
      <c r="O44" s="200">
        <f t="shared" si="16"/>
        <v>46598</v>
      </c>
    </row>
    <row r="45" spans="2:16" x14ac:dyDescent="0.25">
      <c r="B45" s="191">
        <v>7</v>
      </c>
      <c r="C45" s="196">
        <f t="shared" si="17"/>
        <v>2012</v>
      </c>
      <c r="D45" s="192">
        <v>53452</v>
      </c>
      <c r="E45" s="192">
        <v>3281</v>
      </c>
      <c r="F45" s="192">
        <v>1016</v>
      </c>
      <c r="G45" s="192">
        <v>522</v>
      </c>
      <c r="H45" s="192">
        <v>478</v>
      </c>
      <c r="I45" s="192">
        <v>28</v>
      </c>
      <c r="J45" s="192">
        <v>11</v>
      </c>
      <c r="K45" s="192">
        <v>15</v>
      </c>
      <c r="L45" s="192">
        <v>3</v>
      </c>
      <c r="M45" s="192">
        <v>1</v>
      </c>
      <c r="N45" s="193">
        <v>58807</v>
      </c>
      <c r="O45" s="193">
        <f t="shared" si="16"/>
        <v>58749</v>
      </c>
    </row>
    <row r="46" spans="2:16" x14ac:dyDescent="0.25">
      <c r="B46" s="191">
        <v>8</v>
      </c>
      <c r="C46" s="196">
        <f t="shared" si="17"/>
        <v>2011</v>
      </c>
      <c r="D46" s="192">
        <v>40341</v>
      </c>
      <c r="E46" s="192">
        <v>2302</v>
      </c>
      <c r="F46" s="192">
        <v>1271</v>
      </c>
      <c r="G46" s="192">
        <v>678</v>
      </c>
      <c r="H46" s="192">
        <v>893</v>
      </c>
      <c r="I46" s="192">
        <v>18</v>
      </c>
      <c r="J46" s="192">
        <v>11</v>
      </c>
      <c r="K46" s="192">
        <v>3</v>
      </c>
      <c r="L46" s="192"/>
      <c r="M46" s="192">
        <v>1</v>
      </c>
      <c r="N46" s="193">
        <v>45518</v>
      </c>
      <c r="O46" s="193">
        <f t="shared" si="16"/>
        <v>45485</v>
      </c>
    </row>
    <row r="47" spans="2:16" x14ac:dyDescent="0.25">
      <c r="B47" s="191">
        <v>9</v>
      </c>
      <c r="C47" s="196">
        <f t="shared" si="17"/>
        <v>2010</v>
      </c>
      <c r="D47" s="192">
        <v>15455</v>
      </c>
      <c r="E47" s="192">
        <v>1063</v>
      </c>
      <c r="F47" s="192">
        <v>545</v>
      </c>
      <c r="G47" s="192">
        <v>155</v>
      </c>
      <c r="H47" s="192">
        <v>782</v>
      </c>
      <c r="I47" s="192">
        <v>49</v>
      </c>
      <c r="J47" s="192">
        <v>49</v>
      </c>
      <c r="K47" s="192">
        <v>28</v>
      </c>
      <c r="L47" s="192"/>
      <c r="M47" s="192"/>
      <c r="N47" s="193">
        <v>18126</v>
      </c>
      <c r="O47" s="193">
        <f t="shared" si="16"/>
        <v>18000</v>
      </c>
    </row>
    <row r="48" spans="2:16" x14ac:dyDescent="0.25">
      <c r="B48" s="191">
        <v>10</v>
      </c>
      <c r="C48" s="196">
        <f t="shared" si="17"/>
        <v>2009</v>
      </c>
      <c r="D48" s="192">
        <v>8361</v>
      </c>
      <c r="E48" s="192">
        <v>446</v>
      </c>
      <c r="F48" s="192">
        <v>459</v>
      </c>
      <c r="G48" s="192">
        <v>230</v>
      </c>
      <c r="H48" s="192">
        <v>367</v>
      </c>
      <c r="I48" s="192">
        <v>62</v>
      </c>
      <c r="J48" s="192">
        <v>76</v>
      </c>
      <c r="K48" s="192">
        <v>27</v>
      </c>
      <c r="L48" s="192">
        <v>1</v>
      </c>
      <c r="M48" s="192">
        <v>4</v>
      </c>
      <c r="N48" s="193">
        <v>10033</v>
      </c>
      <c r="O48" s="193">
        <f t="shared" si="16"/>
        <v>9863</v>
      </c>
    </row>
    <row r="49" spans="2:15" x14ac:dyDescent="0.25">
      <c r="B49" s="191">
        <v>11</v>
      </c>
      <c r="C49" s="196">
        <f t="shared" si="17"/>
        <v>2008</v>
      </c>
      <c r="D49" s="192">
        <v>12618</v>
      </c>
      <c r="E49" s="192">
        <v>570</v>
      </c>
      <c r="F49" s="192">
        <v>573</v>
      </c>
      <c r="G49" s="192">
        <v>230</v>
      </c>
      <c r="H49" s="192">
        <v>87</v>
      </c>
      <c r="I49" s="192">
        <v>44</v>
      </c>
      <c r="J49" s="192">
        <v>60</v>
      </c>
      <c r="K49" s="192">
        <v>23</v>
      </c>
      <c r="L49" s="192">
        <v>1</v>
      </c>
      <c r="M49" s="192">
        <v>1</v>
      </c>
      <c r="N49" s="193">
        <v>14207</v>
      </c>
      <c r="O49" s="193">
        <f t="shared" si="16"/>
        <v>14078</v>
      </c>
    </row>
    <row r="50" spans="2:15" x14ac:dyDescent="0.25">
      <c r="B50" s="191">
        <v>12</v>
      </c>
      <c r="C50" s="196">
        <f t="shared" si="17"/>
        <v>2007</v>
      </c>
      <c r="D50" s="192">
        <v>9784</v>
      </c>
      <c r="E50" s="192">
        <v>1446</v>
      </c>
      <c r="F50" s="192">
        <v>382</v>
      </c>
      <c r="G50" s="192">
        <v>235</v>
      </c>
      <c r="H50" s="192">
        <v>172</v>
      </c>
      <c r="I50" s="192">
        <v>37</v>
      </c>
      <c r="J50" s="192">
        <v>17</v>
      </c>
      <c r="K50" s="192">
        <v>24</v>
      </c>
      <c r="L50" s="192">
        <v>6</v>
      </c>
      <c r="M50" s="192">
        <v>1</v>
      </c>
      <c r="N50" s="193">
        <v>12104</v>
      </c>
      <c r="O50" s="193">
        <f t="shared" si="16"/>
        <v>12019</v>
      </c>
    </row>
    <row r="51" spans="2:15" x14ac:dyDescent="0.25">
      <c r="B51" s="191">
        <v>13</v>
      </c>
      <c r="C51" s="196">
        <f t="shared" si="17"/>
        <v>2006</v>
      </c>
      <c r="D51" s="192">
        <v>13119</v>
      </c>
      <c r="E51" s="192">
        <v>1527</v>
      </c>
      <c r="F51" s="192">
        <v>183</v>
      </c>
      <c r="G51" s="192">
        <v>18</v>
      </c>
      <c r="H51" s="192">
        <v>96</v>
      </c>
      <c r="I51" s="192">
        <v>50</v>
      </c>
      <c r="J51" s="192">
        <v>20</v>
      </c>
      <c r="K51" s="192">
        <v>12</v>
      </c>
      <c r="L51" s="192">
        <v>9</v>
      </c>
      <c r="M51" s="192"/>
      <c r="N51" s="193">
        <v>15034</v>
      </c>
      <c r="O51" s="193">
        <f t="shared" si="16"/>
        <v>14943</v>
      </c>
    </row>
    <row r="52" spans="2:15" x14ac:dyDescent="0.25">
      <c r="B52" s="191">
        <v>14</v>
      </c>
      <c r="C52" s="196">
        <f t="shared" si="17"/>
        <v>2005</v>
      </c>
      <c r="D52" s="192">
        <v>11649</v>
      </c>
      <c r="E52" s="192">
        <v>1404</v>
      </c>
      <c r="F52" s="192">
        <v>479</v>
      </c>
      <c r="G52" s="192">
        <v>262</v>
      </c>
      <c r="H52" s="192">
        <v>50</v>
      </c>
      <c r="I52" s="192">
        <v>58</v>
      </c>
      <c r="J52" s="192">
        <v>40</v>
      </c>
      <c r="K52" s="192">
        <v>17</v>
      </c>
      <c r="L52" s="192">
        <v>2</v>
      </c>
      <c r="M52" s="192"/>
      <c r="N52" s="193">
        <v>13961</v>
      </c>
      <c r="O52" s="193">
        <f t="shared" si="16"/>
        <v>13844</v>
      </c>
    </row>
    <row r="53" spans="2:15" x14ac:dyDescent="0.25">
      <c r="B53" s="191">
        <v>15</v>
      </c>
      <c r="C53" s="196">
        <f t="shared" si="17"/>
        <v>2004</v>
      </c>
      <c r="D53" s="192">
        <v>13256</v>
      </c>
      <c r="E53" s="192">
        <v>1116</v>
      </c>
      <c r="F53" s="192">
        <v>455</v>
      </c>
      <c r="G53" s="192">
        <v>489</v>
      </c>
      <c r="H53" s="192">
        <v>101</v>
      </c>
      <c r="I53" s="192">
        <v>31</v>
      </c>
      <c r="J53" s="192">
        <v>29</v>
      </c>
      <c r="K53" s="192">
        <v>20</v>
      </c>
      <c r="L53" s="192">
        <v>34</v>
      </c>
      <c r="M53" s="192">
        <v>2</v>
      </c>
      <c r="N53" s="193">
        <v>15533</v>
      </c>
      <c r="O53" s="193">
        <f t="shared" si="16"/>
        <v>15417</v>
      </c>
    </row>
    <row r="54" spans="2:15" x14ac:dyDescent="0.25">
      <c r="B54" s="191">
        <v>16</v>
      </c>
      <c r="C54" s="196">
        <f t="shared" si="17"/>
        <v>2003</v>
      </c>
      <c r="D54" s="192">
        <v>12379</v>
      </c>
      <c r="E54" s="192">
        <v>942</v>
      </c>
      <c r="F54" s="192">
        <v>513</v>
      </c>
      <c r="G54" s="192">
        <v>170</v>
      </c>
      <c r="H54" s="192">
        <v>35</v>
      </c>
      <c r="I54" s="192">
        <v>79</v>
      </c>
      <c r="J54" s="192">
        <v>33</v>
      </c>
      <c r="K54" s="192">
        <v>30</v>
      </c>
      <c r="L54" s="192">
        <v>11</v>
      </c>
      <c r="M54" s="192">
        <v>4</v>
      </c>
      <c r="N54" s="193">
        <v>14196</v>
      </c>
      <c r="O54" s="193">
        <f t="shared" si="16"/>
        <v>14039</v>
      </c>
    </row>
    <row r="55" spans="2:15" x14ac:dyDescent="0.25">
      <c r="B55" s="191">
        <v>17</v>
      </c>
      <c r="C55" s="196">
        <f t="shared" si="17"/>
        <v>2002</v>
      </c>
      <c r="D55" s="192">
        <v>7442</v>
      </c>
      <c r="E55" s="192">
        <v>184</v>
      </c>
      <c r="F55" s="192">
        <v>200</v>
      </c>
      <c r="G55" s="192">
        <v>294</v>
      </c>
      <c r="H55" s="192">
        <v>40</v>
      </c>
      <c r="I55" s="192">
        <v>4</v>
      </c>
      <c r="J55" s="192">
        <v>5</v>
      </c>
      <c r="K55" s="192">
        <v>10</v>
      </c>
      <c r="L55" s="192">
        <v>3</v>
      </c>
      <c r="M55" s="192">
        <v>1</v>
      </c>
      <c r="N55" s="193">
        <v>8183</v>
      </c>
      <c r="O55" s="193">
        <f t="shared" si="16"/>
        <v>8160</v>
      </c>
    </row>
    <row r="56" spans="2:15" x14ac:dyDescent="0.25">
      <c r="B56" s="191">
        <v>18</v>
      </c>
      <c r="C56" s="196">
        <f t="shared" si="17"/>
        <v>2001</v>
      </c>
      <c r="D56" s="192">
        <v>10012</v>
      </c>
      <c r="E56" s="192">
        <v>98</v>
      </c>
      <c r="F56" s="192">
        <v>347</v>
      </c>
      <c r="G56" s="192">
        <v>241</v>
      </c>
      <c r="H56" s="192">
        <v>88</v>
      </c>
      <c r="I56" s="192">
        <v>96</v>
      </c>
      <c r="J56" s="192">
        <v>61</v>
      </c>
      <c r="K56" s="192">
        <v>25</v>
      </c>
      <c r="L56" s="192">
        <v>3</v>
      </c>
      <c r="M56" s="192">
        <v>1</v>
      </c>
      <c r="N56" s="193">
        <v>10972</v>
      </c>
      <c r="O56" s="193">
        <f t="shared" si="16"/>
        <v>10786</v>
      </c>
    </row>
    <row r="57" spans="2:15" x14ac:dyDescent="0.25">
      <c r="B57" s="191">
        <v>19</v>
      </c>
      <c r="C57" s="196">
        <f t="shared" si="17"/>
        <v>2000</v>
      </c>
      <c r="D57" s="192">
        <v>3734</v>
      </c>
      <c r="E57" s="192">
        <v>112</v>
      </c>
      <c r="F57" s="192">
        <v>209</v>
      </c>
      <c r="G57" s="192">
        <v>112</v>
      </c>
      <c r="H57" s="192">
        <v>33</v>
      </c>
      <c r="I57" s="192">
        <v>45</v>
      </c>
      <c r="J57" s="192">
        <v>40</v>
      </c>
      <c r="K57" s="192">
        <v>21</v>
      </c>
      <c r="L57" s="192">
        <v>2</v>
      </c>
      <c r="M57" s="192">
        <v>1</v>
      </c>
      <c r="N57" s="193">
        <v>4309</v>
      </c>
      <c r="O57" s="193">
        <f t="shared" si="16"/>
        <v>4200</v>
      </c>
    </row>
    <row r="58" spans="2:15" x14ac:dyDescent="0.25">
      <c r="B58" s="191">
        <v>20</v>
      </c>
      <c r="C58" s="196">
        <f t="shared" si="17"/>
        <v>1999</v>
      </c>
      <c r="D58" s="192">
        <v>1347</v>
      </c>
      <c r="E58" s="192">
        <v>51</v>
      </c>
      <c r="F58" s="192">
        <v>114</v>
      </c>
      <c r="G58" s="192">
        <v>102</v>
      </c>
      <c r="H58" s="192">
        <v>40</v>
      </c>
      <c r="I58" s="192">
        <v>30</v>
      </c>
      <c r="J58" s="192">
        <v>8</v>
      </c>
      <c r="K58" s="192">
        <v>10</v>
      </c>
      <c r="L58" s="192">
        <v>3</v>
      </c>
      <c r="M58" s="192">
        <v>2</v>
      </c>
      <c r="N58" s="193">
        <v>1707</v>
      </c>
      <c r="O58" s="193">
        <f t="shared" si="16"/>
        <v>1654</v>
      </c>
    </row>
    <row r="59" spans="2:15" x14ac:dyDescent="0.25">
      <c r="B59" s="191">
        <v>21</v>
      </c>
      <c r="C59" s="196">
        <f t="shared" si="17"/>
        <v>1998</v>
      </c>
      <c r="D59" s="192">
        <v>1338</v>
      </c>
      <c r="E59" s="192">
        <v>56</v>
      </c>
      <c r="F59" s="192">
        <v>49</v>
      </c>
      <c r="G59" s="192">
        <v>49</v>
      </c>
      <c r="H59" s="192">
        <v>82</v>
      </c>
      <c r="I59" s="192">
        <v>45</v>
      </c>
      <c r="J59" s="192">
        <v>35</v>
      </c>
      <c r="K59" s="192">
        <v>11</v>
      </c>
      <c r="L59" s="192">
        <v>1</v>
      </c>
      <c r="M59" s="192">
        <v>1</v>
      </c>
      <c r="N59" s="193">
        <v>1667</v>
      </c>
      <c r="O59" s="193">
        <f t="shared" si="16"/>
        <v>1574</v>
      </c>
    </row>
    <row r="60" spans="2:15" x14ac:dyDescent="0.25">
      <c r="B60" s="191">
        <v>22</v>
      </c>
      <c r="C60" s="196">
        <f t="shared" si="17"/>
        <v>1997</v>
      </c>
      <c r="D60" s="192">
        <v>739</v>
      </c>
      <c r="E60" s="192">
        <v>13</v>
      </c>
      <c r="F60" s="192">
        <v>19</v>
      </c>
      <c r="G60" s="192">
        <v>31</v>
      </c>
      <c r="H60" s="192">
        <v>25</v>
      </c>
      <c r="I60" s="192">
        <v>6</v>
      </c>
      <c r="J60" s="192">
        <v>14</v>
      </c>
      <c r="K60" s="192">
        <v>4</v>
      </c>
      <c r="L60" s="192"/>
      <c r="M60" s="192">
        <v>1</v>
      </c>
      <c r="N60" s="193">
        <v>852</v>
      </c>
      <c r="O60" s="193">
        <f t="shared" si="16"/>
        <v>827</v>
      </c>
    </row>
    <row r="61" spans="2:15" x14ac:dyDescent="0.25">
      <c r="B61" s="191">
        <v>23</v>
      </c>
      <c r="C61" s="196">
        <f t="shared" si="17"/>
        <v>1996</v>
      </c>
      <c r="D61" s="192">
        <v>1293</v>
      </c>
      <c r="E61" s="192">
        <v>9</v>
      </c>
      <c r="F61" s="192">
        <v>33</v>
      </c>
      <c r="G61" s="192">
        <v>58</v>
      </c>
      <c r="H61" s="192">
        <v>32</v>
      </c>
      <c r="I61" s="192">
        <v>8</v>
      </c>
      <c r="J61" s="192">
        <v>9</v>
      </c>
      <c r="K61" s="192">
        <v>2</v>
      </c>
      <c r="L61" s="192"/>
      <c r="M61" s="192">
        <v>1</v>
      </c>
      <c r="N61" s="193">
        <v>1445</v>
      </c>
      <c r="O61" s="193">
        <f t="shared" si="16"/>
        <v>1425</v>
      </c>
    </row>
    <row r="62" spans="2:15" x14ac:dyDescent="0.25">
      <c r="B62" s="191">
        <v>24</v>
      </c>
      <c r="C62" s="196">
        <f t="shared" si="17"/>
        <v>1995</v>
      </c>
      <c r="D62" s="192">
        <v>665</v>
      </c>
      <c r="E62" s="192">
        <v>9</v>
      </c>
      <c r="F62" s="192"/>
      <c r="G62" s="192">
        <v>18</v>
      </c>
      <c r="H62" s="192">
        <v>36</v>
      </c>
      <c r="I62" s="192">
        <v>8</v>
      </c>
      <c r="J62" s="192">
        <v>16</v>
      </c>
      <c r="K62" s="192">
        <v>12</v>
      </c>
      <c r="L62" s="192">
        <v>2</v>
      </c>
      <c r="M62" s="192">
        <v>1</v>
      </c>
      <c r="N62" s="193">
        <v>767</v>
      </c>
      <c r="O62" s="193">
        <f t="shared" si="16"/>
        <v>728</v>
      </c>
    </row>
    <row r="63" spans="2:15" x14ac:dyDescent="0.25">
      <c r="B63" s="191">
        <v>25</v>
      </c>
      <c r="C63" s="196">
        <f t="shared" si="17"/>
        <v>1994</v>
      </c>
      <c r="D63" s="192">
        <v>279</v>
      </c>
      <c r="E63" s="192">
        <v>8</v>
      </c>
      <c r="F63" s="192">
        <v>8</v>
      </c>
      <c r="G63" s="192">
        <v>12</v>
      </c>
      <c r="H63" s="192">
        <v>10</v>
      </c>
      <c r="I63" s="192">
        <v>6</v>
      </c>
      <c r="J63" s="192">
        <v>3</v>
      </c>
      <c r="K63" s="192">
        <v>3</v>
      </c>
      <c r="L63" s="192"/>
      <c r="M63" s="192"/>
      <c r="N63" s="193">
        <v>329</v>
      </c>
      <c r="O63" s="193">
        <f t="shared" si="16"/>
        <v>317</v>
      </c>
    </row>
    <row r="64" spans="2:15" x14ac:dyDescent="0.25">
      <c r="B64" s="191">
        <v>26</v>
      </c>
      <c r="C64" s="196">
        <f t="shared" si="17"/>
        <v>1993</v>
      </c>
      <c r="D64" s="192">
        <v>191</v>
      </c>
      <c r="E64" s="192">
        <v>10</v>
      </c>
      <c r="F64" s="192">
        <v>21</v>
      </c>
      <c r="G64" s="192">
        <v>19</v>
      </c>
      <c r="H64" s="192">
        <v>1</v>
      </c>
      <c r="I64" s="192">
        <v>1</v>
      </c>
      <c r="J64" s="192"/>
      <c r="K64" s="192">
        <v>1</v>
      </c>
      <c r="L64" s="192">
        <v>1</v>
      </c>
      <c r="M64" s="192"/>
      <c r="N64" s="193">
        <v>245</v>
      </c>
      <c r="O64" s="193">
        <f t="shared" si="16"/>
        <v>242</v>
      </c>
    </row>
    <row r="65" spans="2:15" x14ac:dyDescent="0.25">
      <c r="B65" s="191">
        <v>27</v>
      </c>
      <c r="C65" s="196">
        <f t="shared" si="17"/>
        <v>1992</v>
      </c>
      <c r="D65" s="192">
        <v>170</v>
      </c>
      <c r="E65" s="192">
        <v>2</v>
      </c>
      <c r="F65" s="192">
        <v>3</v>
      </c>
      <c r="G65" s="192">
        <v>12</v>
      </c>
      <c r="H65" s="192">
        <v>3</v>
      </c>
      <c r="I65" s="192"/>
      <c r="J65" s="192">
        <v>2</v>
      </c>
      <c r="K65" s="192">
        <v>4</v>
      </c>
      <c r="L65" s="192">
        <v>2</v>
      </c>
      <c r="M65" s="192">
        <v>1</v>
      </c>
      <c r="N65" s="193">
        <v>199</v>
      </c>
      <c r="O65" s="193">
        <f t="shared" si="16"/>
        <v>190</v>
      </c>
    </row>
    <row r="66" spans="2:15" x14ac:dyDescent="0.25">
      <c r="B66" s="191">
        <v>28</v>
      </c>
      <c r="C66" s="196">
        <f t="shared" si="17"/>
        <v>1991</v>
      </c>
      <c r="D66" s="192">
        <v>211</v>
      </c>
      <c r="E66" s="192">
        <v>1</v>
      </c>
      <c r="F66" s="192">
        <v>26</v>
      </c>
      <c r="G66" s="192">
        <v>8</v>
      </c>
      <c r="H66" s="192"/>
      <c r="I66" s="192">
        <v>1</v>
      </c>
      <c r="J66" s="192">
        <v>1</v>
      </c>
      <c r="K66" s="192"/>
      <c r="L66" s="192"/>
      <c r="M66" s="192">
        <v>2</v>
      </c>
      <c r="N66" s="193">
        <v>250</v>
      </c>
      <c r="O66" s="193">
        <f t="shared" si="16"/>
        <v>246</v>
      </c>
    </row>
    <row r="67" spans="2:15" x14ac:dyDescent="0.25">
      <c r="B67" s="191">
        <v>29</v>
      </c>
      <c r="C67" s="196">
        <f t="shared" si="17"/>
        <v>1990</v>
      </c>
      <c r="D67" s="192">
        <v>101</v>
      </c>
      <c r="E67" s="192"/>
      <c r="F67" s="192">
        <v>15</v>
      </c>
      <c r="G67" s="192">
        <v>9</v>
      </c>
      <c r="H67" s="192">
        <v>2</v>
      </c>
      <c r="I67" s="192">
        <v>1</v>
      </c>
      <c r="J67" s="192">
        <v>5</v>
      </c>
      <c r="K67" s="192"/>
      <c r="L67" s="192"/>
      <c r="M67" s="192"/>
      <c r="N67" s="193">
        <v>133</v>
      </c>
      <c r="O67" s="193">
        <f t="shared" si="16"/>
        <v>127</v>
      </c>
    </row>
    <row r="68" spans="2:15" x14ac:dyDescent="0.25">
      <c r="B68" s="191">
        <v>30</v>
      </c>
      <c r="C68" s="196">
        <f t="shared" si="17"/>
        <v>1989</v>
      </c>
      <c r="D68" s="192">
        <v>91</v>
      </c>
      <c r="E68" s="192">
        <v>2</v>
      </c>
      <c r="F68" s="192">
        <v>23</v>
      </c>
      <c r="G68" s="192">
        <v>23</v>
      </c>
      <c r="H68" s="192">
        <v>25</v>
      </c>
      <c r="I68" s="192">
        <v>7</v>
      </c>
      <c r="J68" s="192">
        <v>8</v>
      </c>
      <c r="K68" s="192"/>
      <c r="L68" s="192">
        <v>2</v>
      </c>
      <c r="M68" s="192">
        <v>1</v>
      </c>
      <c r="N68" s="193">
        <v>182</v>
      </c>
      <c r="O68" s="193">
        <f t="shared" si="16"/>
        <v>164</v>
      </c>
    </row>
    <row r="69" spans="2:15" x14ac:dyDescent="0.25">
      <c r="B69" s="191">
        <v>31</v>
      </c>
      <c r="C69" s="196">
        <f t="shared" si="17"/>
        <v>1988</v>
      </c>
      <c r="D69" s="192">
        <v>45</v>
      </c>
      <c r="E69" s="192">
        <v>3</v>
      </c>
      <c r="F69" s="192">
        <v>19</v>
      </c>
      <c r="G69" s="192">
        <v>17</v>
      </c>
      <c r="H69" s="192">
        <v>3</v>
      </c>
      <c r="I69" s="192">
        <v>1</v>
      </c>
      <c r="J69" s="192">
        <v>3</v>
      </c>
      <c r="K69" s="192">
        <v>5</v>
      </c>
      <c r="L69" s="192"/>
      <c r="M69" s="192"/>
      <c r="N69" s="193">
        <v>96</v>
      </c>
      <c r="O69" s="193">
        <f t="shared" si="16"/>
        <v>87</v>
      </c>
    </row>
    <row r="70" spans="2:15" x14ac:dyDescent="0.25">
      <c r="B70" s="191">
        <v>32</v>
      </c>
      <c r="C70" s="196">
        <f t="shared" si="17"/>
        <v>1987</v>
      </c>
      <c r="D70" s="192">
        <v>29</v>
      </c>
      <c r="E70" s="192">
        <v>2</v>
      </c>
      <c r="F70" s="192">
        <v>11</v>
      </c>
      <c r="G70" s="192">
        <v>2</v>
      </c>
      <c r="H70" s="192">
        <v>2</v>
      </c>
      <c r="I70" s="192">
        <v>3</v>
      </c>
      <c r="J70" s="192">
        <v>2</v>
      </c>
      <c r="K70" s="192">
        <v>4</v>
      </c>
      <c r="L70" s="192"/>
      <c r="M70" s="192"/>
      <c r="N70" s="193">
        <v>55</v>
      </c>
      <c r="O70" s="193">
        <f t="shared" si="16"/>
        <v>46</v>
      </c>
    </row>
    <row r="71" spans="2:15" x14ac:dyDescent="0.25">
      <c r="B71" s="191">
        <v>33</v>
      </c>
      <c r="C71" s="196">
        <f t="shared" si="17"/>
        <v>1986</v>
      </c>
      <c r="D71" s="192">
        <v>79</v>
      </c>
      <c r="E71" s="192">
        <v>1</v>
      </c>
      <c r="F71" s="192">
        <v>21</v>
      </c>
      <c r="G71" s="192">
        <v>31</v>
      </c>
      <c r="H71" s="192">
        <v>5</v>
      </c>
      <c r="I71" s="192">
        <v>4</v>
      </c>
      <c r="J71" s="192">
        <v>9</v>
      </c>
      <c r="K71" s="192">
        <v>2</v>
      </c>
      <c r="L71" s="192">
        <v>1</v>
      </c>
      <c r="M71" s="192"/>
      <c r="N71" s="193">
        <v>153</v>
      </c>
      <c r="O71" s="193">
        <f t="shared" si="16"/>
        <v>137</v>
      </c>
    </row>
    <row r="72" spans="2:15" x14ac:dyDescent="0.25">
      <c r="B72" s="191">
        <v>34</v>
      </c>
      <c r="C72" s="196">
        <f t="shared" si="17"/>
        <v>1985</v>
      </c>
      <c r="D72" s="192">
        <v>21</v>
      </c>
      <c r="E72" s="192">
        <v>1</v>
      </c>
      <c r="F72" s="192">
        <v>10</v>
      </c>
      <c r="G72" s="192">
        <v>32</v>
      </c>
      <c r="H72" s="192">
        <v>8</v>
      </c>
      <c r="I72" s="192">
        <v>17</v>
      </c>
      <c r="J72" s="192">
        <v>4</v>
      </c>
      <c r="K72" s="192"/>
      <c r="L72" s="192">
        <v>1</v>
      </c>
      <c r="M72" s="192"/>
      <c r="N72" s="193">
        <v>94</v>
      </c>
      <c r="O72" s="193">
        <f t="shared" si="16"/>
        <v>72</v>
      </c>
    </row>
    <row r="73" spans="2:15" x14ac:dyDescent="0.25">
      <c r="B73" s="191">
        <v>35</v>
      </c>
      <c r="C73" s="196">
        <f t="shared" si="17"/>
        <v>1984</v>
      </c>
      <c r="D73" s="192">
        <v>13</v>
      </c>
      <c r="E73" s="192"/>
      <c r="F73" s="192">
        <v>8</v>
      </c>
      <c r="G73" s="192">
        <v>33</v>
      </c>
      <c r="H73" s="192">
        <v>2</v>
      </c>
      <c r="I73" s="192">
        <v>17</v>
      </c>
      <c r="J73" s="192">
        <v>8</v>
      </c>
      <c r="K73" s="192">
        <v>4</v>
      </c>
      <c r="L73" s="192">
        <v>1</v>
      </c>
      <c r="M73" s="192"/>
      <c r="N73" s="193">
        <v>86</v>
      </c>
      <c r="O73" s="193">
        <f t="shared" si="16"/>
        <v>56</v>
      </c>
    </row>
    <row r="74" spans="2:15" x14ac:dyDescent="0.25">
      <c r="B74" s="191">
        <v>36</v>
      </c>
      <c r="C74" s="196">
        <f t="shared" si="17"/>
        <v>1983</v>
      </c>
      <c r="D74" s="192">
        <v>10</v>
      </c>
      <c r="E74" s="192">
        <v>4</v>
      </c>
      <c r="F74" s="192">
        <v>19</v>
      </c>
      <c r="G74" s="192">
        <v>12</v>
      </c>
      <c r="H74" s="192"/>
      <c r="I74" s="192">
        <v>1</v>
      </c>
      <c r="J74" s="192">
        <v>1</v>
      </c>
      <c r="K74" s="192">
        <v>4</v>
      </c>
      <c r="L74" s="192"/>
      <c r="M74" s="192"/>
      <c r="N74" s="193">
        <v>51</v>
      </c>
      <c r="O74" s="193">
        <f t="shared" si="16"/>
        <v>45</v>
      </c>
    </row>
    <row r="75" spans="2:15" x14ac:dyDescent="0.25">
      <c r="B75" s="191">
        <v>37</v>
      </c>
      <c r="C75" s="196">
        <f t="shared" si="17"/>
        <v>1982</v>
      </c>
      <c r="D75" s="192">
        <v>5</v>
      </c>
      <c r="E75" s="192"/>
      <c r="F75" s="192">
        <v>5</v>
      </c>
      <c r="G75" s="192">
        <v>10</v>
      </c>
      <c r="H75" s="192">
        <v>4</v>
      </c>
      <c r="I75" s="192">
        <v>3</v>
      </c>
      <c r="J75" s="192"/>
      <c r="K75" s="192">
        <v>2</v>
      </c>
      <c r="L75" s="192"/>
      <c r="M75" s="192"/>
      <c r="N75" s="193">
        <v>29</v>
      </c>
      <c r="O75" s="193">
        <f t="shared" si="16"/>
        <v>24</v>
      </c>
    </row>
    <row r="76" spans="2:15" x14ac:dyDescent="0.25">
      <c r="B76" s="191">
        <v>38</v>
      </c>
      <c r="C76" s="196">
        <f t="shared" si="17"/>
        <v>1981</v>
      </c>
      <c r="D76" s="192">
        <v>12</v>
      </c>
      <c r="E76" s="192"/>
      <c r="F76" s="192">
        <v>1</v>
      </c>
      <c r="G76" s="192">
        <v>4</v>
      </c>
      <c r="H76" s="192">
        <v>2</v>
      </c>
      <c r="I76" s="192">
        <v>5</v>
      </c>
      <c r="J76" s="192">
        <v>1</v>
      </c>
      <c r="K76" s="192">
        <v>3</v>
      </c>
      <c r="L76" s="192">
        <v>1</v>
      </c>
      <c r="M76" s="192"/>
      <c r="N76" s="193">
        <v>29</v>
      </c>
      <c r="O76" s="193">
        <f t="shared" si="16"/>
        <v>19</v>
      </c>
    </row>
    <row r="77" spans="2:15" x14ac:dyDescent="0.25">
      <c r="B77" s="191">
        <v>39</v>
      </c>
      <c r="C77" s="196">
        <f t="shared" si="17"/>
        <v>1980</v>
      </c>
      <c r="D77" s="192">
        <v>4</v>
      </c>
      <c r="E77" s="192">
        <v>1</v>
      </c>
      <c r="F77" s="192">
        <v>2</v>
      </c>
      <c r="G77" s="192"/>
      <c r="H77" s="192">
        <v>2</v>
      </c>
      <c r="I77" s="192">
        <v>2</v>
      </c>
      <c r="J77" s="192">
        <v>2</v>
      </c>
      <c r="K77" s="192">
        <v>3</v>
      </c>
      <c r="L77" s="192"/>
      <c r="M77" s="192"/>
      <c r="N77" s="193">
        <v>16</v>
      </c>
      <c r="O77" s="193">
        <f t="shared" si="16"/>
        <v>9</v>
      </c>
    </row>
    <row r="78" spans="2:15" x14ac:dyDescent="0.25">
      <c r="B78" s="191">
        <v>40</v>
      </c>
      <c r="C78" s="196">
        <f t="shared" si="17"/>
        <v>1979</v>
      </c>
      <c r="D78" s="192">
        <v>2</v>
      </c>
      <c r="E78" s="192"/>
      <c r="F78" s="192">
        <v>4</v>
      </c>
      <c r="G78" s="192">
        <v>4</v>
      </c>
      <c r="H78" s="192">
        <v>4</v>
      </c>
      <c r="I78" s="192">
        <v>4</v>
      </c>
      <c r="J78" s="192">
        <v>2</v>
      </c>
      <c r="K78" s="192"/>
      <c r="L78" s="192"/>
      <c r="M78" s="192"/>
      <c r="N78" s="193">
        <v>20</v>
      </c>
      <c r="O78" s="193">
        <f t="shared" si="16"/>
        <v>14</v>
      </c>
    </row>
    <row r="79" spans="2:15" x14ac:dyDescent="0.25">
      <c r="B79" s="191">
        <v>41</v>
      </c>
      <c r="C79" s="196">
        <f t="shared" si="17"/>
        <v>1978</v>
      </c>
      <c r="D79" s="192"/>
      <c r="E79" s="192"/>
      <c r="F79" s="192">
        <v>1</v>
      </c>
      <c r="G79" s="192">
        <v>3</v>
      </c>
      <c r="H79" s="192"/>
      <c r="I79" s="192"/>
      <c r="J79" s="192">
        <v>1</v>
      </c>
      <c r="K79" s="192">
        <v>1</v>
      </c>
      <c r="L79" s="192"/>
      <c r="M79" s="192">
        <v>2</v>
      </c>
      <c r="N79" s="193">
        <v>8</v>
      </c>
      <c r="O79" s="193">
        <f t="shared" si="16"/>
        <v>4</v>
      </c>
    </row>
    <row r="80" spans="2:15" x14ac:dyDescent="0.25">
      <c r="B80" s="191">
        <v>42</v>
      </c>
      <c r="C80" s="196">
        <f t="shared" si="17"/>
        <v>1977</v>
      </c>
      <c r="D80" s="192">
        <v>13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3">
        <v>13</v>
      </c>
      <c r="O80" s="193">
        <f t="shared" si="16"/>
        <v>13</v>
      </c>
    </row>
    <row r="81" spans="2:16" x14ac:dyDescent="0.25">
      <c r="B81" s="191">
        <v>43</v>
      </c>
      <c r="C81" s="196">
        <f t="shared" si="17"/>
        <v>1976</v>
      </c>
      <c r="D81" s="192">
        <v>8</v>
      </c>
      <c r="E81" s="192"/>
      <c r="F81" s="192"/>
      <c r="G81" s="192"/>
      <c r="H81" s="192"/>
      <c r="I81" s="192">
        <v>3</v>
      </c>
      <c r="J81" s="192"/>
      <c r="K81" s="192">
        <v>1</v>
      </c>
      <c r="L81" s="192"/>
      <c r="M81" s="192"/>
      <c r="N81" s="193">
        <v>12</v>
      </c>
      <c r="O81" s="193">
        <f t="shared" si="16"/>
        <v>8</v>
      </c>
    </row>
    <row r="82" spans="2:16" x14ac:dyDescent="0.25">
      <c r="B82" s="191">
        <v>44</v>
      </c>
      <c r="C82" s="196">
        <f t="shared" si="17"/>
        <v>1975</v>
      </c>
      <c r="D82" s="192">
        <v>14</v>
      </c>
      <c r="E82" s="192"/>
      <c r="F82" s="192"/>
      <c r="G82" s="192"/>
      <c r="H82" s="192"/>
      <c r="I82" s="192"/>
      <c r="J82" s="192">
        <v>1</v>
      </c>
      <c r="K82" s="192"/>
      <c r="L82" s="192"/>
      <c r="M82" s="192"/>
      <c r="N82" s="193">
        <v>15</v>
      </c>
      <c r="O82" s="193">
        <f t="shared" si="16"/>
        <v>14</v>
      </c>
    </row>
    <row r="83" spans="2:16" x14ac:dyDescent="0.25">
      <c r="B83" s="191">
        <v>45</v>
      </c>
      <c r="C83" s="196">
        <f t="shared" si="17"/>
        <v>1974</v>
      </c>
      <c r="D83" s="192">
        <v>6</v>
      </c>
      <c r="E83" s="192"/>
      <c r="F83" s="192"/>
      <c r="G83" s="192"/>
      <c r="H83" s="192"/>
      <c r="I83" s="192">
        <v>2</v>
      </c>
      <c r="J83" s="192"/>
      <c r="K83" s="192">
        <v>1</v>
      </c>
      <c r="L83" s="192"/>
      <c r="M83" s="192"/>
      <c r="N83" s="193">
        <v>9</v>
      </c>
      <c r="O83" s="193">
        <f t="shared" si="16"/>
        <v>6</v>
      </c>
    </row>
    <row r="84" spans="2:16" x14ac:dyDescent="0.25">
      <c r="B84" s="191">
        <v>46</v>
      </c>
      <c r="C84" s="196">
        <f t="shared" si="17"/>
        <v>1973</v>
      </c>
      <c r="D84" s="192">
        <v>4</v>
      </c>
      <c r="E84" s="192"/>
      <c r="F84" s="192"/>
      <c r="G84" s="192"/>
      <c r="H84" s="192"/>
      <c r="I84" s="192"/>
      <c r="J84" s="192"/>
      <c r="K84" s="192">
        <v>1</v>
      </c>
      <c r="L84" s="192"/>
      <c r="M84" s="192">
        <v>1</v>
      </c>
      <c r="N84" s="193">
        <v>6</v>
      </c>
      <c r="O84" s="193">
        <f t="shared" si="16"/>
        <v>4</v>
      </c>
    </row>
    <row r="85" spans="2:16" x14ac:dyDescent="0.25">
      <c r="B85" s="191">
        <v>47</v>
      </c>
      <c r="C85" s="196">
        <f t="shared" si="17"/>
        <v>1972</v>
      </c>
      <c r="D85" s="192">
        <v>6</v>
      </c>
      <c r="E85" s="192"/>
      <c r="F85" s="192"/>
      <c r="G85" s="192"/>
      <c r="H85" s="192"/>
      <c r="I85" s="192"/>
      <c r="J85" s="192"/>
      <c r="K85" s="192">
        <v>1</v>
      </c>
      <c r="L85" s="192"/>
      <c r="M85" s="192"/>
      <c r="N85" s="193">
        <v>7</v>
      </c>
      <c r="O85" s="193">
        <f t="shared" si="16"/>
        <v>6</v>
      </c>
    </row>
    <row r="86" spans="2:16" x14ac:dyDescent="0.25">
      <c r="B86" s="191">
        <v>48</v>
      </c>
      <c r="C86" s="196">
        <f t="shared" si="17"/>
        <v>1971</v>
      </c>
      <c r="D86" s="192">
        <v>1</v>
      </c>
      <c r="E86" s="192"/>
      <c r="F86" s="192"/>
      <c r="G86" s="192"/>
      <c r="H86" s="192"/>
      <c r="I86" s="192">
        <v>3</v>
      </c>
      <c r="J86" s="192">
        <v>4</v>
      </c>
      <c r="K86" s="192"/>
      <c r="L86" s="192"/>
      <c r="M86" s="192"/>
      <c r="N86" s="193">
        <v>8</v>
      </c>
      <c r="O86" s="193">
        <f t="shared" si="16"/>
        <v>1</v>
      </c>
    </row>
    <row r="87" spans="2:16" x14ac:dyDescent="0.25">
      <c r="B87" s="191">
        <v>49</v>
      </c>
      <c r="C87" s="196">
        <f t="shared" si="17"/>
        <v>1970</v>
      </c>
      <c r="D87" s="192"/>
      <c r="E87" s="192"/>
      <c r="F87" s="192"/>
      <c r="G87" s="192"/>
      <c r="H87" s="192"/>
      <c r="I87" s="192">
        <v>1</v>
      </c>
      <c r="J87" s="192"/>
      <c r="K87" s="192">
        <v>1</v>
      </c>
      <c r="L87" s="192"/>
      <c r="M87" s="192"/>
      <c r="N87" s="193">
        <v>2</v>
      </c>
      <c r="O87" s="193">
        <f t="shared" si="16"/>
        <v>0</v>
      </c>
    </row>
    <row r="88" spans="2:16" x14ac:dyDescent="0.25">
      <c r="B88" s="191">
        <v>51</v>
      </c>
      <c r="C88" s="196">
        <f t="shared" si="17"/>
        <v>1969</v>
      </c>
      <c r="D88" s="192">
        <v>2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3">
        <v>2</v>
      </c>
      <c r="O88" s="193">
        <f t="shared" si="16"/>
        <v>2</v>
      </c>
    </row>
    <row r="89" spans="2:16" x14ac:dyDescent="0.25">
      <c r="B89" s="191">
        <v>52</v>
      </c>
      <c r="C89" s="196">
        <f t="shared" si="17"/>
        <v>1968</v>
      </c>
      <c r="D89" s="192"/>
      <c r="E89" s="192"/>
      <c r="F89" s="192"/>
      <c r="G89" s="192"/>
      <c r="H89" s="192"/>
      <c r="I89" s="192">
        <v>1</v>
      </c>
      <c r="J89" s="192">
        <v>1</v>
      </c>
      <c r="K89" s="192"/>
      <c r="L89" s="192"/>
      <c r="M89" s="192"/>
      <c r="N89" s="193">
        <v>2</v>
      </c>
      <c r="O89" s="193">
        <f t="shared" si="16"/>
        <v>0</v>
      </c>
    </row>
    <row r="90" spans="2:16" x14ac:dyDescent="0.25">
      <c r="B90" s="191">
        <v>53</v>
      </c>
      <c r="C90" s="196">
        <f t="shared" si="17"/>
        <v>1967</v>
      </c>
      <c r="D90" s="192"/>
      <c r="E90" s="192"/>
      <c r="F90" s="192"/>
      <c r="G90" s="192"/>
      <c r="H90" s="192"/>
      <c r="I90" s="192">
        <v>1</v>
      </c>
      <c r="J90" s="192">
        <v>2</v>
      </c>
      <c r="K90" s="192"/>
      <c r="L90" s="192"/>
      <c r="M90" s="192"/>
      <c r="N90" s="193">
        <v>3</v>
      </c>
      <c r="O90" s="193">
        <f t="shared" si="16"/>
        <v>0</v>
      </c>
    </row>
    <row r="91" spans="2:16" x14ac:dyDescent="0.25">
      <c r="B91" s="191">
        <v>59</v>
      </c>
      <c r="C91" s="196">
        <f t="shared" si="17"/>
        <v>1966</v>
      </c>
      <c r="D91" s="192"/>
      <c r="E91" s="192"/>
      <c r="F91" s="192"/>
      <c r="G91" s="192"/>
      <c r="H91" s="192"/>
      <c r="I91" s="192"/>
      <c r="J91" s="192"/>
      <c r="K91" s="192">
        <v>1</v>
      </c>
      <c r="L91" s="192"/>
      <c r="M91" s="192"/>
      <c r="N91" s="193">
        <v>1</v>
      </c>
      <c r="O91" s="193">
        <f t="shared" si="16"/>
        <v>0</v>
      </c>
    </row>
    <row r="92" spans="2:16" x14ac:dyDescent="0.25">
      <c r="B92" s="229" t="s">
        <v>98</v>
      </c>
      <c r="C92" s="230" t="s">
        <v>87</v>
      </c>
      <c r="D92" s="193">
        <v>466958</v>
      </c>
      <c r="E92" s="193">
        <v>34793</v>
      </c>
      <c r="F92" s="193">
        <v>15071</v>
      </c>
      <c r="G92" s="193">
        <v>8367</v>
      </c>
      <c r="H92" s="193">
        <v>6096</v>
      </c>
      <c r="I92" s="193">
        <v>1183</v>
      </c>
      <c r="J92" s="193">
        <v>837</v>
      </c>
      <c r="K92" s="193">
        <v>442</v>
      </c>
      <c r="L92" s="193">
        <v>127</v>
      </c>
      <c r="M92" s="193">
        <v>32</v>
      </c>
      <c r="N92" s="193">
        <f>SUM(D92:M92)</f>
        <v>533906</v>
      </c>
      <c r="O92" s="193">
        <f>SUM(D92:H92)</f>
        <v>531285</v>
      </c>
    </row>
    <row r="93" spans="2:16" x14ac:dyDescent="0.25">
      <c r="B93" s="238" t="s">
        <v>99</v>
      </c>
      <c r="C93" s="239" t="s">
        <v>87</v>
      </c>
      <c r="D93" s="240">
        <f>'2. Meter Install Forecast-Est''s'!$H$10-D$92</f>
        <v>31502.223184784059</v>
      </c>
      <c r="E93" s="240">
        <f>'2. Meter Install Forecast-Est''s'!$H$11-E$92</f>
        <v>2347.2279118640072</v>
      </c>
      <c r="F93" s="240">
        <f>'2. Meter Install Forecast-Est''s'!$H$12-F$92</f>
        <v>922.46576800000184</v>
      </c>
      <c r="G93" s="240">
        <f>'2. Meter Install Forecast-Est''s'!$H$13-G$92</f>
        <v>512.12733599999956</v>
      </c>
      <c r="H93" s="240">
        <f>'2. Meter Install Forecast-Est''s'!$H$14-H$92</f>
        <v>278.4553739999983</v>
      </c>
      <c r="I93" s="240">
        <f>'2. Meter Install Forecast-Est''s'!$H$15-I$92</f>
        <v>35.846082999999908</v>
      </c>
      <c r="J93" s="240">
        <f>'2. Meter Install Forecast-Est''s'!$H$16-J$92</f>
        <v>25.361937000000012</v>
      </c>
      <c r="K93" s="240">
        <f>'2. Meter Install Forecast-Est''s'!$H$17-K$92</f>
        <v>13.393042000000037</v>
      </c>
      <c r="L93" s="240">
        <f>'2. Meter Install Forecast-Est''s'!$H$18-L$92</f>
        <v>3.8482270000000085</v>
      </c>
      <c r="M93" s="240">
        <f>'2. Meter Install Forecast-Est''s'!$H$19-M$92</f>
        <v>0.96963199999999716</v>
      </c>
      <c r="N93" s="241">
        <f>SUM(D93:M93)</f>
        <v>35641.918495648068</v>
      </c>
      <c r="O93" s="241">
        <f>SUM(D93:H93)</f>
        <v>35562.499574648064</v>
      </c>
      <c r="P93" s="236" t="s">
        <v>100</v>
      </c>
    </row>
    <row r="94" spans="2:16" x14ac:dyDescent="0.25">
      <c r="B94" s="229" t="s">
        <v>86</v>
      </c>
      <c r="C94" s="230" t="s">
        <v>87</v>
      </c>
      <c r="D94" s="193">
        <f>SUM(D$37:D$91)+D$93</f>
        <v>498460.22318478406</v>
      </c>
      <c r="E94" s="193">
        <f t="shared" ref="E94:N94" si="18">SUM(E$37:E$91)+E$93</f>
        <v>37140.227911864007</v>
      </c>
      <c r="F94" s="193">
        <f t="shared" si="18"/>
        <v>15993.465768000002</v>
      </c>
      <c r="G94" s="193">
        <f t="shared" si="18"/>
        <v>8879.1273359999996</v>
      </c>
      <c r="H94" s="193">
        <f t="shared" si="18"/>
        <v>6374.4553739999983</v>
      </c>
      <c r="I94" s="193">
        <f t="shared" si="18"/>
        <v>1218.8460829999999</v>
      </c>
      <c r="J94" s="193">
        <f t="shared" si="18"/>
        <v>862.36193700000001</v>
      </c>
      <c r="K94" s="193">
        <f t="shared" si="18"/>
        <v>455.39304200000004</v>
      </c>
      <c r="L94" s="193">
        <f t="shared" si="18"/>
        <v>130.84822700000001</v>
      </c>
      <c r="M94" s="193">
        <f t="shared" si="18"/>
        <v>32.969631999999997</v>
      </c>
      <c r="N94" s="193">
        <f t="shared" si="18"/>
        <v>569547.91849564807</v>
      </c>
      <c r="O94" s="193">
        <f>SUM(D94:H94)</f>
        <v>566847.4995746481</v>
      </c>
    </row>
    <row r="95" spans="2:16" x14ac:dyDescent="0.2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2:16" x14ac:dyDescent="0.25">
      <c r="B96" s="6" t="s">
        <v>73</v>
      </c>
      <c r="C96" s="205" t="s">
        <v>74</v>
      </c>
    </row>
    <row r="97" spans="2:3" x14ac:dyDescent="0.25">
      <c r="B97" s="6" t="s">
        <v>101</v>
      </c>
      <c r="C97" s="205" t="s">
        <v>114</v>
      </c>
    </row>
  </sheetData>
  <mergeCells count="4">
    <mergeCell ref="B16:B17"/>
    <mergeCell ref="B23:B24"/>
    <mergeCell ref="P16:P17"/>
    <mergeCell ref="P23:P24"/>
  </mergeCells>
  <pageMargins left="0.25" right="0.25" top="0.75" bottom="0.75" header="0.3" footer="0.3"/>
  <pageSetup scale="63" fitToHeight="2" orientation="landscape" horizontalDpi="300" verticalDpi="300" r:id="rId1"/>
  <headerFooter>
    <oddFooter>&amp;L&amp;Z&amp;F&amp;R&amp;A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P32"/>
  <sheetViews>
    <sheetView zoomScale="90" zoomScaleNormal="90" workbookViewId="0">
      <selection activeCell="O3" sqref="O3"/>
    </sheetView>
  </sheetViews>
  <sheetFormatPr defaultRowHeight="15" x14ac:dyDescent="0.25"/>
  <cols>
    <col min="1" max="1" width="5.140625" customWidth="1"/>
    <col min="2" max="2" width="11.5703125" customWidth="1"/>
    <col min="3" max="3" width="11.140625" style="1" customWidth="1"/>
    <col min="4" max="4" width="10.7109375" style="1" bestFit="1" customWidth="1"/>
    <col min="5" max="5" width="10.7109375" style="1" customWidth="1"/>
    <col min="6" max="13" width="8.85546875" style="1"/>
    <col min="16" max="16" width="9.7109375" customWidth="1"/>
  </cols>
  <sheetData>
    <row r="1" spans="2:16" s="3" customFormat="1" ht="23.25" x14ac:dyDescent="0.35">
      <c r="B1" s="258" t="s">
        <v>108</v>
      </c>
      <c r="C1" s="2"/>
      <c r="F1" s="173"/>
      <c r="G1" s="2"/>
      <c r="J1" s="2"/>
      <c r="K1" s="2"/>
      <c r="L1" s="346">
        <v>43780</v>
      </c>
      <c r="M1" s="347"/>
    </row>
    <row r="2" spans="2:16" s="3" customFormat="1" x14ac:dyDescent="0.25">
      <c r="C2" s="2"/>
      <c r="F2" s="173"/>
      <c r="G2" s="2"/>
      <c r="H2" s="189"/>
      <c r="I2" s="190"/>
      <c r="J2" s="2"/>
      <c r="K2" s="2"/>
      <c r="L2" s="2"/>
      <c r="M2" s="2"/>
    </row>
    <row r="3" spans="2:16" s="3" customFormat="1" ht="16.899999999999999" customHeight="1" x14ac:dyDescent="0.25">
      <c r="B3" s="348" t="s">
        <v>63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</row>
    <row r="4" spans="2:16" s="3" customFormat="1" ht="16.899999999999999" customHeight="1" x14ac:dyDescent="0.25">
      <c r="B4" s="351" t="s">
        <v>62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3"/>
    </row>
    <row r="5" spans="2:16" s="3" customFormat="1" ht="5.45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s="3" customFormat="1" x14ac:dyDescent="0.25">
      <c r="C6" s="2"/>
      <c r="D6" s="2"/>
      <c r="E6" s="2"/>
      <c r="F6" s="2"/>
      <c r="G6" s="163" t="s">
        <v>49</v>
      </c>
      <c r="H6" s="163" t="s">
        <v>47</v>
      </c>
      <c r="I6" s="163" t="s">
        <v>47</v>
      </c>
      <c r="J6" s="163" t="s">
        <v>47</v>
      </c>
      <c r="K6" s="175" t="s">
        <v>48</v>
      </c>
      <c r="L6" s="7" t="s">
        <v>52</v>
      </c>
      <c r="M6" s="8"/>
    </row>
    <row r="7" spans="2:16" s="3" customFormat="1" x14ac:dyDescent="0.25">
      <c r="B7" s="7"/>
      <c r="C7" s="250">
        <v>2017</v>
      </c>
      <c r="D7" s="139" t="s">
        <v>15</v>
      </c>
      <c r="E7" s="139" t="s">
        <v>59</v>
      </c>
      <c r="F7" s="140">
        <v>2020</v>
      </c>
      <c r="G7" s="140">
        <v>2021</v>
      </c>
      <c r="H7" s="148">
        <v>2022</v>
      </c>
      <c r="I7" s="140">
        <v>2023</v>
      </c>
      <c r="J7" s="140">
        <v>2024</v>
      </c>
      <c r="K7" s="176">
        <v>2025</v>
      </c>
      <c r="L7" s="146" t="s">
        <v>14</v>
      </c>
      <c r="M7" s="147"/>
    </row>
    <row r="8" spans="2:16" s="3" customFormat="1" x14ac:dyDescent="0.25">
      <c r="B8" s="136" t="s">
        <v>8</v>
      </c>
      <c r="C8" s="251" t="s">
        <v>16</v>
      </c>
      <c r="D8" s="137" t="s">
        <v>31</v>
      </c>
      <c r="E8" s="137" t="s">
        <v>60</v>
      </c>
      <c r="F8" s="138" t="s">
        <v>9</v>
      </c>
      <c r="G8" s="138" t="s">
        <v>9</v>
      </c>
      <c r="H8" s="149" t="s">
        <v>9</v>
      </c>
      <c r="I8" s="138" t="s">
        <v>9</v>
      </c>
      <c r="J8" s="138" t="s">
        <v>9</v>
      </c>
      <c r="K8" s="177" t="s">
        <v>9</v>
      </c>
      <c r="L8" s="148" t="s">
        <v>10</v>
      </c>
      <c r="M8" s="148" t="s">
        <v>11</v>
      </c>
    </row>
    <row r="9" spans="2:16" s="3" customFormat="1" x14ac:dyDescent="0.25">
      <c r="B9" s="136"/>
      <c r="C9" s="226"/>
      <c r="D9" s="89"/>
      <c r="E9" s="89" t="s">
        <v>61</v>
      </c>
      <c r="F9" s="20"/>
      <c r="G9" s="20"/>
      <c r="H9" s="150" t="s">
        <v>53</v>
      </c>
      <c r="I9" s="20" t="s">
        <v>51</v>
      </c>
      <c r="J9" s="162" t="s">
        <v>54</v>
      </c>
      <c r="K9" s="178" t="s">
        <v>58</v>
      </c>
      <c r="L9" s="150" t="s">
        <v>53</v>
      </c>
      <c r="M9" s="150" t="s">
        <v>53</v>
      </c>
    </row>
    <row r="10" spans="2:16" x14ac:dyDescent="0.25">
      <c r="B10" s="24" t="s">
        <v>17</v>
      </c>
      <c r="C10" s="252">
        <v>442963</v>
      </c>
      <c r="D10" s="86">
        <v>466958</v>
      </c>
      <c r="E10" s="186">
        <v>2.1999999999999999E-2</v>
      </c>
      <c r="F10" s="21">
        <f>D10*(1+$E$10)</f>
        <v>477231.076</v>
      </c>
      <c r="G10" s="21">
        <f>F10*(1+$E$10)</f>
        <v>487730.15967200004</v>
      </c>
      <c r="H10" s="151">
        <f t="shared" ref="H10:K10" si="0">G10*(1+$E$10)</f>
        <v>498460.22318478406</v>
      </c>
      <c r="I10" s="141">
        <f t="shared" si="0"/>
        <v>509426.34809484932</v>
      </c>
      <c r="J10" s="141">
        <f t="shared" si="0"/>
        <v>520633.72775293601</v>
      </c>
      <c r="K10" s="179">
        <f t="shared" si="0"/>
        <v>532087.66976350057</v>
      </c>
      <c r="L10" s="168">
        <f>H10</f>
        <v>498460.22318478406</v>
      </c>
      <c r="M10" s="25"/>
      <c r="P10" s="3"/>
    </row>
    <row r="11" spans="2:16" x14ac:dyDescent="0.25">
      <c r="B11" s="26" t="s">
        <v>18</v>
      </c>
      <c r="C11" s="253">
        <v>38703</v>
      </c>
      <c r="D11" s="77">
        <v>34793</v>
      </c>
      <c r="E11" s="187">
        <v>2.1999999999999999E-2</v>
      </c>
      <c r="F11" s="22">
        <f>D11*(1+$E$11)</f>
        <v>35558.446000000004</v>
      </c>
      <c r="G11" s="22">
        <f>F11*(1+$E$11)</f>
        <v>36340.731812000005</v>
      </c>
      <c r="H11" s="152">
        <f t="shared" ref="H11:K11" si="1">G11*(1+$E$11)</f>
        <v>37140.227911864007</v>
      </c>
      <c r="I11" s="142">
        <f t="shared" si="1"/>
        <v>37957.312925925013</v>
      </c>
      <c r="J11" s="142">
        <f t="shared" si="1"/>
        <v>38792.373810295365</v>
      </c>
      <c r="K11" s="180">
        <f t="shared" si="1"/>
        <v>39645.806034121866</v>
      </c>
      <c r="L11" s="169">
        <f>H11</f>
        <v>37140.227911864007</v>
      </c>
      <c r="M11" s="27"/>
      <c r="P11" s="3"/>
    </row>
    <row r="12" spans="2:16" x14ac:dyDescent="0.25">
      <c r="B12" s="26" t="s">
        <v>19</v>
      </c>
      <c r="C12" s="253">
        <v>14673</v>
      </c>
      <c r="D12" s="77">
        <v>15071</v>
      </c>
      <c r="E12" s="187">
        <v>0.02</v>
      </c>
      <c r="F12" s="22">
        <f>D12*(1+$E$12)</f>
        <v>15372.42</v>
      </c>
      <c r="G12" s="22">
        <f>F12*(1+$E$12)</f>
        <v>15679.868400000001</v>
      </c>
      <c r="H12" s="152">
        <f t="shared" ref="H12:K12" si="2">G12*(1+$E$12)</f>
        <v>15993.465768000002</v>
      </c>
      <c r="I12" s="142">
        <f t="shared" si="2"/>
        <v>16313.335083360002</v>
      </c>
      <c r="J12" s="142">
        <f t="shared" si="2"/>
        <v>16639.6017850272</v>
      </c>
      <c r="K12" s="180">
        <f t="shared" si="2"/>
        <v>16972.393820727746</v>
      </c>
      <c r="L12" s="169">
        <f>H12</f>
        <v>15993.465768000002</v>
      </c>
      <c r="M12" s="27"/>
      <c r="P12" s="3"/>
    </row>
    <row r="13" spans="2:16" x14ac:dyDescent="0.25">
      <c r="B13" s="26" t="s">
        <v>20</v>
      </c>
      <c r="C13" s="253">
        <v>8041</v>
      </c>
      <c r="D13" s="77">
        <v>8367</v>
      </c>
      <c r="E13" s="187">
        <v>0.02</v>
      </c>
      <c r="F13" s="22">
        <f>D13*(1+$E$13)</f>
        <v>8534.34</v>
      </c>
      <c r="G13" s="22">
        <f>F13*(1+$E$13)</f>
        <v>8705.0267999999996</v>
      </c>
      <c r="H13" s="152">
        <f t="shared" ref="H13:K13" si="3">G13*(1+$E$13)</f>
        <v>8879.1273359999996</v>
      </c>
      <c r="I13" s="142">
        <f t="shared" si="3"/>
        <v>9056.7098827199989</v>
      </c>
      <c r="J13" s="142">
        <f t="shared" si="3"/>
        <v>9237.8440803743997</v>
      </c>
      <c r="K13" s="180">
        <f t="shared" si="3"/>
        <v>9422.6009619818888</v>
      </c>
      <c r="L13" s="169">
        <f>H13</f>
        <v>8879.1273359999996</v>
      </c>
      <c r="M13" s="27"/>
      <c r="P13" s="3"/>
    </row>
    <row r="14" spans="2:16" x14ac:dyDescent="0.25">
      <c r="B14" s="26" t="s">
        <v>21</v>
      </c>
      <c r="C14" s="253">
        <v>5702</v>
      </c>
      <c r="D14" s="77">
        <v>6096</v>
      </c>
      <c r="E14" s="187">
        <v>1.4999999999999999E-2</v>
      </c>
      <c r="F14" s="22">
        <f>D14*(1+$E$14)</f>
        <v>6187.44</v>
      </c>
      <c r="G14" s="22">
        <f>F14*(1+$E$14)</f>
        <v>6280.2515999999987</v>
      </c>
      <c r="H14" s="152">
        <f t="shared" ref="H14:K14" si="4">G14*(1+$E$14)</f>
        <v>6374.4553739999983</v>
      </c>
      <c r="I14" s="142">
        <f t="shared" si="4"/>
        <v>6470.0722046099972</v>
      </c>
      <c r="J14" s="142">
        <f t="shared" si="4"/>
        <v>6567.1232876791464</v>
      </c>
      <c r="K14" s="180">
        <f t="shared" si="4"/>
        <v>6665.630136994333</v>
      </c>
      <c r="L14" s="169">
        <f>H14</f>
        <v>6374.4553739999983</v>
      </c>
      <c r="M14" s="27"/>
      <c r="P14" s="3"/>
    </row>
    <row r="15" spans="2:16" x14ac:dyDescent="0.25">
      <c r="B15" s="26" t="s">
        <v>22</v>
      </c>
      <c r="C15" s="253">
        <v>1170</v>
      </c>
      <c r="D15" s="77">
        <v>1183</v>
      </c>
      <c r="E15" s="187">
        <v>0.01</v>
      </c>
      <c r="F15" s="22">
        <f>D15*(1+$E$15)</f>
        <v>1194.83</v>
      </c>
      <c r="G15" s="22">
        <f>F15*(1+$E$15)</f>
        <v>1206.7782999999999</v>
      </c>
      <c r="H15" s="152">
        <f t="shared" ref="H15:K15" si="5">G15*(1+$E$15)</f>
        <v>1218.8460829999999</v>
      </c>
      <c r="I15" s="142">
        <f t="shared" si="5"/>
        <v>1231.0345438299998</v>
      </c>
      <c r="J15" s="142">
        <f t="shared" si="5"/>
        <v>1243.3448892682998</v>
      </c>
      <c r="K15" s="180">
        <f t="shared" si="5"/>
        <v>1255.7783381609827</v>
      </c>
      <c r="L15" s="170"/>
      <c r="M15" s="155">
        <f>H15</f>
        <v>1218.8460829999999</v>
      </c>
      <c r="P15" s="3"/>
    </row>
    <row r="16" spans="2:16" x14ac:dyDescent="0.25">
      <c r="B16" s="26" t="s">
        <v>23</v>
      </c>
      <c r="C16" s="253">
        <v>842</v>
      </c>
      <c r="D16" s="77">
        <v>837</v>
      </c>
      <c r="E16" s="187">
        <v>0.01</v>
      </c>
      <c r="F16" s="22">
        <f>D16*(1+$E$16)</f>
        <v>845.37</v>
      </c>
      <c r="G16" s="22">
        <f>F16*(1+$E$16)</f>
        <v>853.82370000000003</v>
      </c>
      <c r="H16" s="152">
        <f t="shared" ref="H16:K16" si="6">G16*(1+$E$16)</f>
        <v>862.36193700000001</v>
      </c>
      <c r="I16" s="142">
        <f t="shared" si="6"/>
        <v>870.98555637000004</v>
      </c>
      <c r="J16" s="142">
        <f t="shared" si="6"/>
        <v>879.69541193370003</v>
      </c>
      <c r="K16" s="180">
        <f t="shared" si="6"/>
        <v>888.49236605303702</v>
      </c>
      <c r="L16" s="170"/>
      <c r="M16" s="155">
        <f>H16</f>
        <v>862.36193700000001</v>
      </c>
      <c r="P16" s="3"/>
    </row>
    <row r="17" spans="2:16" x14ac:dyDescent="0.25">
      <c r="B17" s="26" t="s">
        <v>68</v>
      </c>
      <c r="C17" s="253">
        <v>575</v>
      </c>
      <c r="D17" s="77">
        <f>442</f>
        <v>442</v>
      </c>
      <c r="E17" s="187">
        <v>0.01</v>
      </c>
      <c r="F17" s="22">
        <f>D17*(1+$E$17)</f>
        <v>446.42</v>
      </c>
      <c r="G17" s="22">
        <f>F17*(1+$E$17)</f>
        <v>450.88420000000002</v>
      </c>
      <c r="H17" s="152">
        <f t="shared" ref="H17:K17" si="7">G17*(1+$E$17)</f>
        <v>455.39304200000004</v>
      </c>
      <c r="I17" s="142">
        <f t="shared" si="7"/>
        <v>459.94697242000007</v>
      </c>
      <c r="J17" s="142">
        <f t="shared" si="7"/>
        <v>464.54644214420006</v>
      </c>
      <c r="K17" s="180">
        <f t="shared" si="7"/>
        <v>469.19190656564206</v>
      </c>
      <c r="L17" s="170"/>
      <c r="M17" s="155">
        <f>H17</f>
        <v>455.39304200000004</v>
      </c>
      <c r="P17" s="3"/>
    </row>
    <row r="18" spans="2:16" x14ac:dyDescent="0.25">
      <c r="B18" s="28" t="s">
        <v>69</v>
      </c>
      <c r="C18" s="254"/>
      <c r="D18" s="77">
        <f>127</f>
        <v>127</v>
      </c>
      <c r="E18" s="187">
        <v>0.01</v>
      </c>
      <c r="F18" s="22">
        <f>D18*(1+$E$18)</f>
        <v>128.27000000000001</v>
      </c>
      <c r="G18" s="22">
        <f>F18*(1+$E$18)</f>
        <v>129.55270000000002</v>
      </c>
      <c r="H18" s="152">
        <f>G18*(1+$E$18)</f>
        <v>130.84822700000001</v>
      </c>
      <c r="I18" s="142">
        <f>H18*(1+$E$18)</f>
        <v>132.15670927000002</v>
      </c>
      <c r="J18" s="142">
        <f>I18*(1+$E$18)</f>
        <v>133.47827636270003</v>
      </c>
      <c r="K18" s="180">
        <f>J18*(1+$E$18)</f>
        <v>134.81305912632703</v>
      </c>
      <c r="L18" s="171"/>
      <c r="M18" s="155">
        <f t="shared" ref="M18:M19" si="8">H18</f>
        <v>130.84822700000001</v>
      </c>
      <c r="P18" s="3"/>
    </row>
    <row r="19" spans="2:16" x14ac:dyDescent="0.25">
      <c r="B19" s="28" t="s">
        <v>70</v>
      </c>
      <c r="C19" s="254"/>
      <c r="D19" s="77">
        <f>32</f>
        <v>32</v>
      </c>
      <c r="E19" s="187">
        <v>0.01</v>
      </c>
      <c r="F19" s="22">
        <f>D19*(1+$E$19)</f>
        <v>32.32</v>
      </c>
      <c r="G19" s="22">
        <f>F19*(1+$E$19)</f>
        <v>32.6432</v>
      </c>
      <c r="H19" s="152">
        <f>G19*(1+$E$19)</f>
        <v>32.969631999999997</v>
      </c>
      <c r="I19" s="142">
        <f>H19*(1+$E$19)</f>
        <v>33.299328320000001</v>
      </c>
      <c r="J19" s="142">
        <f>I19*(1+$E$19)</f>
        <v>33.632321603199998</v>
      </c>
      <c r="K19" s="180">
        <f>J19*(1+$E$19)</f>
        <v>33.968644819231997</v>
      </c>
      <c r="L19" s="171"/>
      <c r="M19" s="155">
        <f t="shared" si="8"/>
        <v>32.969631999999997</v>
      </c>
      <c r="P19" s="3"/>
    </row>
    <row r="20" spans="2:16" x14ac:dyDescent="0.25">
      <c r="B20" s="28" t="s">
        <v>24</v>
      </c>
      <c r="C20" s="254">
        <v>0</v>
      </c>
      <c r="D20" s="87">
        <f t="shared" ref="D20" si="9">C20*1.01</f>
        <v>0</v>
      </c>
      <c r="E20" s="188">
        <v>0.02</v>
      </c>
      <c r="F20" s="29">
        <f>D20*(1+$E$20)</f>
        <v>0</v>
      </c>
      <c r="G20" s="29">
        <f>F20*(1+$E$20)</f>
        <v>0</v>
      </c>
      <c r="H20" s="153">
        <f t="shared" ref="H20:K20" si="10">G20*(1+$E$20)</f>
        <v>0</v>
      </c>
      <c r="I20" s="143">
        <f t="shared" si="10"/>
        <v>0</v>
      </c>
      <c r="J20" s="143">
        <f t="shared" si="10"/>
        <v>0</v>
      </c>
      <c r="K20" s="181">
        <f t="shared" si="10"/>
        <v>0</v>
      </c>
      <c r="L20" s="171"/>
      <c r="M20" s="156">
        <f>H20</f>
        <v>0</v>
      </c>
      <c r="P20" s="3"/>
    </row>
    <row r="21" spans="2:16" s="3" customFormat="1" x14ac:dyDescent="0.25">
      <c r="B21" s="10" t="s">
        <v>25</v>
      </c>
      <c r="C21" s="255">
        <f>SUM(C10:C20)</f>
        <v>512669</v>
      </c>
      <c r="D21" s="88">
        <f t="shared" ref="D21:H21" si="11">SUM(D10:D20)</f>
        <v>533906</v>
      </c>
      <c r="E21" s="88"/>
      <c r="F21" s="30">
        <f t="shared" si="11"/>
        <v>545530.93199999991</v>
      </c>
      <c r="G21" s="30">
        <f t="shared" si="11"/>
        <v>557409.72038399999</v>
      </c>
      <c r="H21" s="154">
        <f t="shared" si="11"/>
        <v>569547.91849564796</v>
      </c>
      <c r="I21" s="144">
        <f t="shared" ref="I21:J21" si="12">SUM(I10:I20)</f>
        <v>581951.20130167424</v>
      </c>
      <c r="J21" s="144">
        <f t="shared" si="12"/>
        <v>594625.36805762409</v>
      </c>
      <c r="K21" s="182">
        <f t="shared" ref="K21" si="13">SUM(K10:K20)</f>
        <v>607576.34503205167</v>
      </c>
      <c r="L21" s="172">
        <f>SUM(L10:L20)</f>
        <v>566847.4995746481</v>
      </c>
      <c r="M21" s="157">
        <f>SUM(M10:M20)</f>
        <v>2700.418921</v>
      </c>
    </row>
    <row r="22" spans="2:16" x14ac:dyDescent="0.25">
      <c r="C22" s="16" t="s">
        <v>107</v>
      </c>
      <c r="D22" s="15"/>
      <c r="E22" s="15"/>
      <c r="F22" s="15"/>
      <c r="G22" s="15"/>
      <c r="H22" s="15"/>
      <c r="I22" s="15"/>
      <c r="J22" s="15"/>
      <c r="K22" s="15"/>
      <c r="L22" s="16">
        <v>567000</v>
      </c>
      <c r="M22" s="165"/>
    </row>
    <row r="23" spans="2:16" x14ac:dyDescent="0.25">
      <c r="C23" s="23"/>
      <c r="D23" s="15"/>
      <c r="E23" s="15"/>
      <c r="F23" s="15"/>
      <c r="G23" s="15"/>
      <c r="H23" s="15"/>
      <c r="I23" s="15"/>
      <c r="J23" s="15"/>
      <c r="K23" s="135" t="s">
        <v>115</v>
      </c>
      <c r="L23" s="166">
        <v>2500</v>
      </c>
      <c r="M23" s="9"/>
    </row>
    <row r="24" spans="2:16" x14ac:dyDescent="0.25">
      <c r="C24" s="23"/>
      <c r="D24" s="15"/>
      <c r="E24" s="15"/>
      <c r="F24" s="15"/>
      <c r="G24" s="15"/>
      <c r="H24" s="15"/>
      <c r="I24" s="15"/>
      <c r="K24" s="167" t="s">
        <v>116</v>
      </c>
      <c r="L24" s="164">
        <f>L22+L23</f>
        <v>569500</v>
      </c>
      <c r="M24" s="9"/>
    </row>
    <row r="25" spans="2:16" x14ac:dyDescent="0.25">
      <c r="C25" s="2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  <c r="O25" s="9"/>
    </row>
    <row r="26" spans="2:16" x14ac:dyDescent="0.25">
      <c r="B26" s="90" t="s">
        <v>32</v>
      </c>
      <c r="C26" s="174"/>
      <c r="D26" s="91"/>
      <c r="E26" s="91"/>
      <c r="F26" s="91"/>
      <c r="G26" s="91"/>
      <c r="H26" s="91"/>
      <c r="I26" s="91"/>
      <c r="J26" s="15"/>
      <c r="K26" s="15"/>
      <c r="L26" s="15"/>
      <c r="M26" s="15"/>
      <c r="N26" s="9"/>
      <c r="O26" s="9"/>
    </row>
    <row r="27" spans="2:16" x14ac:dyDescent="0.25">
      <c r="B27" s="23" t="s">
        <v>57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  <c r="O27" s="9"/>
    </row>
    <row r="28" spans="2:16" x14ac:dyDescent="0.25">
      <c r="B28" s="145" t="s">
        <v>50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  <c r="O28" s="9"/>
    </row>
    <row r="29" spans="2:16" x14ac:dyDescent="0.25">
      <c r="B29" s="158" t="s">
        <v>55</v>
      </c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1"/>
      <c r="O29" s="161"/>
    </row>
    <row r="30" spans="2:16" x14ac:dyDescent="0.25">
      <c r="B30" s="158" t="s">
        <v>56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1"/>
      <c r="O30" s="161"/>
    </row>
    <row r="31" spans="2:16" x14ac:dyDescent="0.25">
      <c r="B31" s="183" t="s">
        <v>64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5"/>
      <c r="O31" s="185"/>
    </row>
    <row r="32" spans="2:16" x14ac:dyDescent="0.2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  <c r="O32" s="9"/>
    </row>
  </sheetData>
  <mergeCells count="3">
    <mergeCell ref="L1:M1"/>
    <mergeCell ref="B3:M3"/>
    <mergeCell ref="B4:M4"/>
  </mergeCells>
  <pageMargins left="0.7" right="0.7" top="0.75" bottom="0.75" header="0.3" footer="0.3"/>
  <pageSetup scale="82" fitToHeight="2" orientation="landscape" r:id="rId1"/>
  <headerFooter>
    <oddFooter>&amp;L&amp;Z&amp;F&amp;R&amp;A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90"/>
  <sheetViews>
    <sheetView tabSelected="1" zoomScale="90" zoomScaleNormal="9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J6" sqref="J6"/>
    </sheetView>
  </sheetViews>
  <sheetFormatPr defaultColWidth="8.85546875" defaultRowHeight="15" x14ac:dyDescent="0.25"/>
  <cols>
    <col min="1" max="1" width="2" style="3" customWidth="1"/>
    <col min="2" max="2" width="18.28515625" style="3" customWidth="1"/>
    <col min="3" max="3" width="8.28515625" style="274" customWidth="1"/>
    <col min="4" max="4" width="9.140625" style="2"/>
    <col min="5" max="5" width="8.85546875" style="2"/>
    <col min="6" max="6" width="8.85546875" style="275"/>
    <col min="7" max="7" width="10" style="2" customWidth="1"/>
    <col min="8" max="8" width="13.28515625" style="2" customWidth="1"/>
    <col min="9" max="9" width="13.5703125" style="16" customWidth="1"/>
    <col min="10" max="10" width="12.28515625" style="16" customWidth="1"/>
    <col min="11" max="11" width="10.7109375" style="16" customWidth="1"/>
    <col min="12" max="12" width="2.7109375" style="212" customWidth="1"/>
    <col min="13" max="13" width="9.7109375" style="2" customWidth="1"/>
    <col min="14" max="14" width="12.42578125" style="2" customWidth="1"/>
    <col min="15" max="15" width="13.85546875" style="16" customWidth="1"/>
    <col min="16" max="16" width="13.42578125" style="16" customWidth="1"/>
    <col min="17" max="17" width="10.7109375" style="16" customWidth="1"/>
    <col min="18" max="18" width="2.5703125" style="276" customWidth="1"/>
    <col min="19" max="19" width="9.28515625" style="277" customWidth="1"/>
    <col min="20" max="20" width="12" style="277" customWidth="1"/>
    <col min="21" max="21" width="13.7109375" style="16" customWidth="1"/>
    <col min="22" max="22" width="13.28515625" style="16" customWidth="1"/>
    <col min="23" max="23" width="10.7109375" style="16" customWidth="1"/>
    <col min="24" max="24" width="2.28515625" style="276" customWidth="1"/>
    <col min="25" max="25" width="12.5703125" style="16" customWidth="1"/>
    <col min="26" max="26" width="6.42578125" style="278" customWidth="1"/>
    <col min="27" max="27" width="7.42578125" style="278" customWidth="1"/>
    <col min="28" max="28" width="3.42578125" style="3" customWidth="1"/>
    <col min="29" max="16384" width="8.85546875" style="3"/>
  </cols>
  <sheetData>
    <row r="1" spans="2:27" s="273" customFormat="1" ht="28.5" x14ac:dyDescent="0.45">
      <c r="B1" s="259" t="s">
        <v>33</v>
      </c>
      <c r="C1" s="266"/>
      <c r="D1" s="267"/>
      <c r="E1" s="267"/>
      <c r="F1" s="268"/>
      <c r="G1" s="267"/>
      <c r="H1" s="267"/>
      <c r="I1" s="129"/>
      <c r="J1" s="128" t="s">
        <v>110</v>
      </c>
      <c r="K1" s="129"/>
      <c r="L1" s="269"/>
      <c r="M1" s="267"/>
      <c r="N1" s="267"/>
      <c r="O1" s="129"/>
      <c r="P1" s="129"/>
      <c r="Q1" s="129"/>
      <c r="R1" s="270"/>
      <c r="S1" s="271"/>
      <c r="T1" s="271"/>
      <c r="U1" s="129"/>
      <c r="V1" s="129"/>
      <c r="W1" s="129"/>
      <c r="X1" s="270"/>
      <c r="Y1" s="129"/>
      <c r="Z1" s="272"/>
      <c r="AA1" s="272"/>
    </row>
    <row r="2" spans="2:27" ht="10.5" customHeight="1" x14ac:dyDescent="0.35">
      <c r="M2" s="4"/>
    </row>
    <row r="3" spans="2:27" ht="15.75" x14ac:dyDescent="0.25">
      <c r="B3" s="5">
        <v>43780</v>
      </c>
      <c r="C3" s="14"/>
      <c r="E3" s="16"/>
      <c r="F3" s="16" t="s">
        <v>7</v>
      </c>
      <c r="G3" s="16"/>
      <c r="T3" s="279"/>
      <c r="U3" s="17"/>
      <c r="V3" s="17"/>
      <c r="W3" s="17"/>
    </row>
    <row r="4" spans="2:27" x14ac:dyDescent="0.25">
      <c r="E4" s="31" t="s">
        <v>5</v>
      </c>
      <c r="F4" s="121">
        <f>('2. Meter Install Forecast-Est''s'!$L$21+'2. Meter Install Forecast-Est''s'!$M$21)</f>
        <v>569547.91849564807</v>
      </c>
      <c r="G4" s="73" t="s">
        <v>28</v>
      </c>
      <c r="M4" s="274"/>
      <c r="S4" s="280"/>
      <c r="T4" s="279"/>
      <c r="U4" s="281"/>
      <c r="V4" s="17"/>
      <c r="W4" s="32"/>
    </row>
    <row r="5" spans="2:27" x14ac:dyDescent="0.25">
      <c r="E5" s="31" t="s">
        <v>29</v>
      </c>
      <c r="F5" s="121">
        <f>'2. Meter Install Forecast-Est''s'!$L$21</f>
        <v>566847.4995746481</v>
      </c>
      <c r="G5" s="23" t="s">
        <v>65</v>
      </c>
      <c r="M5" s="274"/>
      <c r="S5" s="280"/>
      <c r="T5" s="279"/>
      <c r="U5" s="281"/>
      <c r="V5" s="17"/>
      <c r="W5" s="33"/>
    </row>
    <row r="6" spans="2:27" x14ac:dyDescent="0.25">
      <c r="E6" s="31" t="s">
        <v>30</v>
      </c>
      <c r="F6" s="121">
        <f>'2. Meter Install Forecast-Est''s'!$M21</f>
        <v>2700.418921</v>
      </c>
      <c r="G6" s="73" t="s">
        <v>46</v>
      </c>
      <c r="M6" s="274"/>
      <c r="S6" s="280"/>
      <c r="T6" s="279"/>
      <c r="U6" s="281"/>
      <c r="V6" s="17"/>
      <c r="W6" s="32"/>
    </row>
    <row r="7" spans="2:27" ht="15.75" thickBot="1" x14ac:dyDescent="0.3">
      <c r="C7" s="6" t="s">
        <v>122</v>
      </c>
      <c r="D7" s="334"/>
      <c r="I7" s="31"/>
      <c r="J7" s="166"/>
      <c r="K7" s="32"/>
      <c r="M7" s="274"/>
      <c r="S7" s="280"/>
      <c r="T7" s="279"/>
      <c r="U7" s="281"/>
      <c r="V7" s="17"/>
      <c r="W7" s="32"/>
    </row>
    <row r="8" spans="2:27" ht="19.5" thickBot="1" x14ac:dyDescent="0.35">
      <c r="G8" s="62" t="s">
        <v>45</v>
      </c>
      <c r="H8" s="282"/>
      <c r="I8" s="63"/>
      <c r="J8" s="74"/>
      <c r="K8" s="64"/>
      <c r="M8" s="65" t="s">
        <v>118</v>
      </c>
      <c r="N8" s="283"/>
      <c r="O8" s="66"/>
      <c r="P8" s="284"/>
      <c r="Q8" s="67"/>
      <c r="S8" s="68" t="s">
        <v>6</v>
      </c>
      <c r="T8" s="285"/>
      <c r="U8" s="69"/>
      <c r="V8" s="286"/>
      <c r="W8" s="70"/>
      <c r="Y8" s="72"/>
    </row>
    <row r="9" spans="2:27" s="287" customFormat="1" ht="45.75" customHeight="1" thickBot="1" x14ac:dyDescent="0.3">
      <c r="C9" s="134" t="s">
        <v>40</v>
      </c>
      <c r="D9" s="58" t="s">
        <v>41</v>
      </c>
      <c r="E9" s="59" t="s">
        <v>42</v>
      </c>
      <c r="F9" s="60" t="s">
        <v>43</v>
      </c>
      <c r="G9" s="58" t="s">
        <v>0</v>
      </c>
      <c r="H9" s="58" t="s">
        <v>44</v>
      </c>
      <c r="I9" s="288" t="s">
        <v>1</v>
      </c>
      <c r="J9" s="120" t="s">
        <v>3</v>
      </c>
      <c r="K9" s="61" t="s">
        <v>2</v>
      </c>
      <c r="L9" s="289"/>
      <c r="M9" s="134" t="s">
        <v>0</v>
      </c>
      <c r="N9" s="58" t="s">
        <v>44</v>
      </c>
      <c r="O9" s="288" t="s">
        <v>1</v>
      </c>
      <c r="P9" s="120" t="s">
        <v>3</v>
      </c>
      <c r="Q9" s="61" t="s">
        <v>2</v>
      </c>
      <c r="R9" s="290"/>
      <c r="S9" s="291" t="s">
        <v>0</v>
      </c>
      <c r="T9" s="58" t="s">
        <v>44</v>
      </c>
      <c r="U9" s="288" t="s">
        <v>1</v>
      </c>
      <c r="V9" s="120" t="s">
        <v>3</v>
      </c>
      <c r="W9" s="61" t="s">
        <v>2</v>
      </c>
      <c r="X9" s="290"/>
      <c r="Y9" s="71" t="s">
        <v>27</v>
      </c>
      <c r="Z9" s="292"/>
      <c r="AA9" s="292"/>
    </row>
    <row r="10" spans="2:27" ht="15" customHeight="1" x14ac:dyDescent="0.25">
      <c r="B10" s="97" t="s">
        <v>4</v>
      </c>
      <c r="C10" s="124">
        <v>43983</v>
      </c>
      <c r="D10" s="11">
        <v>1</v>
      </c>
      <c r="E10" s="102">
        <v>1</v>
      </c>
      <c r="F10" s="106">
        <v>0</v>
      </c>
      <c r="G10" s="293"/>
      <c r="H10" s="294"/>
      <c r="I10" s="295" t="s">
        <v>13</v>
      </c>
      <c r="J10" s="108">
        <v>0</v>
      </c>
      <c r="K10" s="54">
        <f>J10</f>
        <v>0</v>
      </c>
      <c r="M10" s="296"/>
      <c r="N10" s="297"/>
      <c r="O10" s="295" t="s">
        <v>13</v>
      </c>
      <c r="P10" s="112">
        <v>0</v>
      </c>
      <c r="Q10" s="34">
        <f>P10</f>
        <v>0</v>
      </c>
      <c r="S10" s="298">
        <f>G10+M10</f>
        <v>0</v>
      </c>
      <c r="T10" s="299">
        <f t="shared" ref="T10:W28" si="0">H10+N10</f>
        <v>0</v>
      </c>
      <c r="U10" s="300" t="e">
        <f t="shared" si="0"/>
        <v>#VALUE!</v>
      </c>
      <c r="V10" s="112">
        <f t="shared" si="0"/>
        <v>0</v>
      </c>
      <c r="W10" s="34">
        <f t="shared" si="0"/>
        <v>0</v>
      </c>
      <c r="Y10" s="40">
        <f>(J10+P10)</f>
        <v>0</v>
      </c>
      <c r="Z10" s="301"/>
      <c r="AA10" s="302"/>
    </row>
    <row r="11" spans="2:27" x14ac:dyDescent="0.25">
      <c r="B11" s="133" t="s">
        <v>34</v>
      </c>
      <c r="C11" s="125">
        <v>44013</v>
      </c>
      <c r="D11" s="12">
        <f>1+D10</f>
        <v>2</v>
      </c>
      <c r="E11" s="103">
        <f>1+E10</f>
        <v>2</v>
      </c>
      <c r="F11" s="107">
        <v>1</v>
      </c>
      <c r="G11" s="332" t="s">
        <v>72</v>
      </c>
      <c r="H11" s="333"/>
      <c r="I11" s="22" t="s">
        <v>13</v>
      </c>
      <c r="J11" s="109">
        <v>100</v>
      </c>
      <c r="K11" s="55">
        <f>J11+K10</f>
        <v>100</v>
      </c>
      <c r="M11" s="303"/>
      <c r="N11" s="304"/>
      <c r="O11" s="22" t="s">
        <v>13</v>
      </c>
      <c r="P11" s="113">
        <v>0</v>
      </c>
      <c r="Q11" s="35">
        <f>P11+Q10</f>
        <v>0</v>
      </c>
      <c r="S11" s="305" t="e">
        <f t="shared" ref="S11:S28" si="1">G11+M11</f>
        <v>#VALUE!</v>
      </c>
      <c r="T11" s="306">
        <f t="shared" si="0"/>
        <v>0</v>
      </c>
      <c r="U11" s="307" t="e">
        <f t="shared" si="0"/>
        <v>#VALUE!</v>
      </c>
      <c r="V11" s="113">
        <f t="shared" si="0"/>
        <v>100</v>
      </c>
      <c r="W11" s="35">
        <f t="shared" si="0"/>
        <v>100</v>
      </c>
      <c r="Y11" s="18">
        <f>(J11+P11)+Y10</f>
        <v>100</v>
      </c>
      <c r="Z11" s="47"/>
      <c r="AA11" s="48"/>
    </row>
    <row r="12" spans="2:27" x14ac:dyDescent="0.25">
      <c r="B12" s="133" t="s">
        <v>35</v>
      </c>
      <c r="C12" s="125">
        <v>44044</v>
      </c>
      <c r="D12" s="12">
        <f t="shared" ref="D12:D75" si="2">1+D11</f>
        <v>3</v>
      </c>
      <c r="E12" s="103">
        <f t="shared" ref="E12:E21" si="3">1+E11</f>
        <v>3</v>
      </c>
      <c r="F12" s="107">
        <f>1+F11</f>
        <v>2</v>
      </c>
      <c r="G12" s="332" t="s">
        <v>72</v>
      </c>
      <c r="H12" s="333"/>
      <c r="I12" s="22" t="s">
        <v>13</v>
      </c>
      <c r="J12" s="109">
        <f>((950/3)*1)*2</f>
        <v>633.33333333333337</v>
      </c>
      <c r="K12" s="55">
        <f t="shared" ref="K12:K28" si="4">J12+K11</f>
        <v>733.33333333333337</v>
      </c>
      <c r="M12" s="341" t="s">
        <v>100</v>
      </c>
      <c r="N12" s="342"/>
      <c r="O12" s="22" t="s">
        <v>13</v>
      </c>
      <c r="P12" s="113">
        <v>5</v>
      </c>
      <c r="Q12" s="35">
        <f t="shared" ref="Q12:Q28" si="5">P12+Q11</f>
        <v>5</v>
      </c>
      <c r="S12" s="305" t="e">
        <f t="shared" si="1"/>
        <v>#VALUE!</v>
      </c>
      <c r="T12" s="306">
        <f t="shared" si="0"/>
        <v>0</v>
      </c>
      <c r="U12" s="307" t="e">
        <f t="shared" si="0"/>
        <v>#VALUE!</v>
      </c>
      <c r="V12" s="113">
        <f t="shared" si="0"/>
        <v>638.33333333333337</v>
      </c>
      <c r="W12" s="35">
        <f t="shared" si="0"/>
        <v>738.33333333333337</v>
      </c>
      <c r="Y12" s="18">
        <f t="shared" ref="Y12:Y75" si="6">(J12+P12)+Y11</f>
        <v>738.33333333333337</v>
      </c>
      <c r="Z12" s="47"/>
      <c r="AA12" s="48"/>
    </row>
    <row r="13" spans="2:27" x14ac:dyDescent="0.25">
      <c r="B13" s="133" t="s">
        <v>36</v>
      </c>
      <c r="C13" s="125">
        <v>44075</v>
      </c>
      <c r="D13" s="12">
        <f t="shared" si="2"/>
        <v>4</v>
      </c>
      <c r="E13" s="103">
        <f t="shared" si="3"/>
        <v>4</v>
      </c>
      <c r="F13" s="107">
        <f t="shared" ref="F13:F14" si="7">1+F12</f>
        <v>3</v>
      </c>
      <c r="G13" s="332" t="s">
        <v>72</v>
      </c>
      <c r="H13" s="333"/>
      <c r="I13" s="22" t="s">
        <v>13</v>
      </c>
      <c r="J13" s="109">
        <f>((950/3)*2)*2+1500</f>
        <v>2766.666666666667</v>
      </c>
      <c r="K13" s="55">
        <f t="shared" ref="K13:K15" si="8">J13+K12</f>
        <v>3500.0000000000005</v>
      </c>
      <c r="M13" s="341" t="s">
        <v>100</v>
      </c>
      <c r="N13" s="342"/>
      <c r="O13" s="22" t="s">
        <v>13</v>
      </c>
      <c r="P13" s="113">
        <v>5</v>
      </c>
      <c r="Q13" s="35">
        <f t="shared" ref="Q13:Q15" si="9">P13+Q12</f>
        <v>10</v>
      </c>
      <c r="S13" s="305" t="e">
        <f t="shared" ref="S13:S15" si="10">G13+M13</f>
        <v>#VALUE!</v>
      </c>
      <c r="T13" s="306">
        <f t="shared" ref="T13:T15" si="11">H13+N13</f>
        <v>0</v>
      </c>
      <c r="U13" s="307" t="e">
        <f t="shared" ref="U13:U15" si="12">I13+O13</f>
        <v>#VALUE!</v>
      </c>
      <c r="V13" s="113">
        <f t="shared" ref="V13:V15" si="13">J13+P13</f>
        <v>2771.666666666667</v>
      </c>
      <c r="W13" s="35">
        <f t="shared" ref="W13:W15" si="14">K13+Q13</f>
        <v>3510.0000000000005</v>
      </c>
      <c r="Y13" s="18">
        <f t="shared" si="6"/>
        <v>3510.0000000000005</v>
      </c>
      <c r="Z13" s="47"/>
      <c r="AA13" s="48"/>
    </row>
    <row r="14" spans="2:27" x14ac:dyDescent="0.25">
      <c r="B14" s="133" t="s">
        <v>37</v>
      </c>
      <c r="C14" s="125">
        <v>44105</v>
      </c>
      <c r="D14" s="12">
        <f t="shared" si="2"/>
        <v>5</v>
      </c>
      <c r="E14" s="103">
        <f t="shared" si="3"/>
        <v>5</v>
      </c>
      <c r="F14" s="107">
        <f t="shared" si="7"/>
        <v>4</v>
      </c>
      <c r="G14" s="332" t="s">
        <v>72</v>
      </c>
      <c r="H14" s="333"/>
      <c r="I14" s="22" t="s">
        <v>13</v>
      </c>
      <c r="J14" s="109">
        <f>1500</f>
        <v>1500</v>
      </c>
      <c r="K14" s="55">
        <f t="shared" si="8"/>
        <v>5000</v>
      </c>
      <c r="M14" s="341" t="s">
        <v>100</v>
      </c>
      <c r="N14" s="342"/>
      <c r="O14" s="22" t="s">
        <v>13</v>
      </c>
      <c r="P14" s="113">
        <v>5</v>
      </c>
      <c r="Q14" s="35">
        <f t="shared" si="9"/>
        <v>15</v>
      </c>
      <c r="S14" s="305" t="e">
        <f t="shared" si="10"/>
        <v>#VALUE!</v>
      </c>
      <c r="T14" s="306">
        <f t="shared" si="11"/>
        <v>0</v>
      </c>
      <c r="U14" s="307" t="e">
        <f t="shared" si="12"/>
        <v>#VALUE!</v>
      </c>
      <c r="V14" s="113">
        <f t="shared" si="13"/>
        <v>1505</v>
      </c>
      <c r="W14" s="35">
        <f t="shared" si="14"/>
        <v>5015</v>
      </c>
      <c r="Y14" s="18">
        <f t="shared" si="6"/>
        <v>5015</v>
      </c>
      <c r="Z14" s="47"/>
      <c r="AA14" s="48"/>
    </row>
    <row r="15" spans="2:27" x14ac:dyDescent="0.25">
      <c r="B15" s="99"/>
      <c r="C15" s="125">
        <v>44136</v>
      </c>
      <c r="D15" s="12">
        <f t="shared" si="2"/>
        <v>6</v>
      </c>
      <c r="E15" s="103">
        <f t="shared" si="3"/>
        <v>6</v>
      </c>
      <c r="F15" s="50"/>
      <c r="G15" s="308"/>
      <c r="H15" s="19"/>
      <c r="I15" s="22">
        <f>J15/4</f>
        <v>0</v>
      </c>
      <c r="J15" s="109">
        <v>0</v>
      </c>
      <c r="K15" s="55">
        <f t="shared" si="8"/>
        <v>5000</v>
      </c>
      <c r="M15" s="303"/>
      <c r="N15" s="304"/>
      <c r="O15" s="307">
        <f t="shared" ref="O15" si="15">M15*N15*5</f>
        <v>0</v>
      </c>
      <c r="P15" s="113">
        <f t="shared" ref="P15" si="16">O15*4</f>
        <v>0</v>
      </c>
      <c r="Q15" s="35">
        <f t="shared" si="9"/>
        <v>15</v>
      </c>
      <c r="S15" s="305">
        <f t="shared" si="10"/>
        <v>0</v>
      </c>
      <c r="T15" s="306">
        <f t="shared" si="11"/>
        <v>0</v>
      </c>
      <c r="U15" s="307">
        <f t="shared" si="12"/>
        <v>0</v>
      </c>
      <c r="V15" s="113">
        <f t="shared" si="13"/>
        <v>0</v>
      </c>
      <c r="W15" s="35">
        <f t="shared" si="14"/>
        <v>5015</v>
      </c>
      <c r="Y15" s="18">
        <f t="shared" si="6"/>
        <v>5015</v>
      </c>
      <c r="Z15" s="47"/>
      <c r="AA15" s="48"/>
    </row>
    <row r="16" spans="2:27" ht="15.75" thickBot="1" x14ac:dyDescent="0.3">
      <c r="B16" s="100"/>
      <c r="C16" s="126">
        <v>44166</v>
      </c>
      <c r="D16" s="13">
        <f t="shared" si="2"/>
        <v>7</v>
      </c>
      <c r="E16" s="104">
        <f t="shared" si="3"/>
        <v>7</v>
      </c>
      <c r="F16" s="51"/>
      <c r="G16" s="309"/>
      <c r="H16" s="39"/>
      <c r="I16" s="310">
        <f t="shared" ref="I16:I79" si="17">J16/4</f>
        <v>0</v>
      </c>
      <c r="J16" s="110">
        <v>0</v>
      </c>
      <c r="K16" s="56">
        <f t="shared" si="4"/>
        <v>5000</v>
      </c>
      <c r="M16" s="311"/>
      <c r="N16" s="312"/>
      <c r="O16" s="313">
        <f t="shared" ref="O16:O26" si="18">M16*N16*5</f>
        <v>0</v>
      </c>
      <c r="P16" s="114">
        <f t="shared" ref="P16:P26" si="19">O16*4</f>
        <v>0</v>
      </c>
      <c r="Q16" s="38">
        <f t="shared" si="5"/>
        <v>15</v>
      </c>
      <c r="S16" s="314">
        <f t="shared" si="1"/>
        <v>0</v>
      </c>
      <c r="T16" s="315">
        <f t="shared" si="0"/>
        <v>0</v>
      </c>
      <c r="U16" s="313">
        <f t="shared" si="0"/>
        <v>0</v>
      </c>
      <c r="V16" s="114">
        <f t="shared" si="0"/>
        <v>0</v>
      </c>
      <c r="W16" s="38">
        <f t="shared" si="0"/>
        <v>5015</v>
      </c>
      <c r="Y16" s="42">
        <f t="shared" si="6"/>
        <v>5015</v>
      </c>
      <c r="Z16" s="43">
        <f>Y16/$W$88</f>
        <v>8.7639585481362383E-3</v>
      </c>
      <c r="AA16" s="44">
        <v>2020</v>
      </c>
    </row>
    <row r="17" spans="2:27" x14ac:dyDescent="0.25">
      <c r="B17" s="101" t="s">
        <v>4</v>
      </c>
      <c r="C17" s="127">
        <v>44197</v>
      </c>
      <c r="D17" s="36">
        <f t="shared" si="2"/>
        <v>8</v>
      </c>
      <c r="E17" s="105">
        <f t="shared" si="3"/>
        <v>8</v>
      </c>
      <c r="F17" s="52"/>
      <c r="G17" s="316"/>
      <c r="H17" s="317"/>
      <c r="I17" s="318">
        <f t="shared" si="17"/>
        <v>0</v>
      </c>
      <c r="J17" s="111">
        <v>0</v>
      </c>
      <c r="K17" s="57">
        <f t="shared" si="4"/>
        <v>5000</v>
      </c>
      <c r="M17" s="319"/>
      <c r="N17" s="320"/>
      <c r="O17" s="321">
        <f t="shared" si="18"/>
        <v>0</v>
      </c>
      <c r="P17" s="115">
        <f t="shared" si="19"/>
        <v>0</v>
      </c>
      <c r="Q17" s="37">
        <f t="shared" si="5"/>
        <v>15</v>
      </c>
      <c r="S17" s="322">
        <f t="shared" si="1"/>
        <v>0</v>
      </c>
      <c r="T17" s="323">
        <f t="shared" si="0"/>
        <v>0</v>
      </c>
      <c r="U17" s="321">
        <f t="shared" si="0"/>
        <v>0</v>
      </c>
      <c r="V17" s="115">
        <f t="shared" si="0"/>
        <v>0</v>
      </c>
      <c r="W17" s="37">
        <f t="shared" si="0"/>
        <v>5015</v>
      </c>
      <c r="Y17" s="41">
        <f>(J17+P17)</f>
        <v>0</v>
      </c>
      <c r="Z17" s="45"/>
      <c r="AA17" s="46"/>
    </row>
    <row r="18" spans="2:27" x14ac:dyDescent="0.25">
      <c r="B18" s="98" t="s">
        <v>38</v>
      </c>
      <c r="C18" s="125">
        <v>44228</v>
      </c>
      <c r="D18" s="12">
        <f t="shared" si="2"/>
        <v>9</v>
      </c>
      <c r="E18" s="103">
        <f t="shared" si="3"/>
        <v>9</v>
      </c>
      <c r="F18" s="50"/>
      <c r="G18" s="308"/>
      <c r="H18" s="19"/>
      <c r="I18" s="22">
        <f t="shared" si="17"/>
        <v>0</v>
      </c>
      <c r="J18" s="109">
        <v>0</v>
      </c>
      <c r="K18" s="55">
        <f t="shared" si="4"/>
        <v>5000</v>
      </c>
      <c r="M18" s="303"/>
      <c r="N18" s="304"/>
      <c r="O18" s="307">
        <f t="shared" si="18"/>
        <v>0</v>
      </c>
      <c r="P18" s="113">
        <f t="shared" si="19"/>
        <v>0</v>
      </c>
      <c r="Q18" s="35">
        <f t="shared" si="5"/>
        <v>15</v>
      </c>
      <c r="S18" s="305">
        <f t="shared" si="1"/>
        <v>0</v>
      </c>
      <c r="T18" s="306">
        <f t="shared" si="0"/>
        <v>0</v>
      </c>
      <c r="U18" s="307">
        <f t="shared" si="0"/>
        <v>0</v>
      </c>
      <c r="V18" s="113">
        <f t="shared" si="0"/>
        <v>0</v>
      </c>
      <c r="W18" s="35">
        <f t="shared" si="0"/>
        <v>5015</v>
      </c>
      <c r="Y18" s="18">
        <f t="shared" si="6"/>
        <v>0</v>
      </c>
      <c r="Z18" s="47"/>
      <c r="AA18" s="48"/>
    </row>
    <row r="19" spans="2:27" x14ac:dyDescent="0.25">
      <c r="B19" s="98" t="s">
        <v>39</v>
      </c>
      <c r="C19" s="125">
        <v>44256</v>
      </c>
      <c r="D19" s="12">
        <f t="shared" si="2"/>
        <v>10</v>
      </c>
      <c r="E19" s="103">
        <f t="shared" si="3"/>
        <v>10</v>
      </c>
      <c r="F19" s="50"/>
      <c r="G19" s="308"/>
      <c r="H19" s="19"/>
      <c r="I19" s="22">
        <f t="shared" si="17"/>
        <v>0</v>
      </c>
      <c r="J19" s="109">
        <v>0</v>
      </c>
      <c r="K19" s="55">
        <f t="shared" si="4"/>
        <v>5000</v>
      </c>
      <c r="M19" s="303"/>
      <c r="N19" s="304"/>
      <c r="O19" s="307">
        <f t="shared" si="18"/>
        <v>0</v>
      </c>
      <c r="P19" s="113">
        <f t="shared" si="19"/>
        <v>0</v>
      </c>
      <c r="Q19" s="35">
        <f t="shared" si="5"/>
        <v>15</v>
      </c>
      <c r="S19" s="305">
        <f t="shared" si="1"/>
        <v>0</v>
      </c>
      <c r="T19" s="306">
        <f t="shared" si="0"/>
        <v>0</v>
      </c>
      <c r="U19" s="307">
        <f t="shared" si="0"/>
        <v>0</v>
      </c>
      <c r="V19" s="113">
        <f t="shared" si="0"/>
        <v>0</v>
      </c>
      <c r="W19" s="35">
        <f t="shared" si="0"/>
        <v>5015</v>
      </c>
      <c r="Y19" s="18">
        <f t="shared" si="6"/>
        <v>0</v>
      </c>
      <c r="Z19" s="47"/>
      <c r="AA19" s="48"/>
    </row>
    <row r="20" spans="2:27" x14ac:dyDescent="0.25">
      <c r="B20" s="99"/>
      <c r="C20" s="125">
        <v>44287</v>
      </c>
      <c r="D20" s="12">
        <f t="shared" si="2"/>
        <v>11</v>
      </c>
      <c r="E20" s="103">
        <f t="shared" si="3"/>
        <v>11</v>
      </c>
      <c r="F20" s="50"/>
      <c r="G20" s="308"/>
      <c r="H20" s="19"/>
      <c r="I20" s="22">
        <f t="shared" si="17"/>
        <v>0</v>
      </c>
      <c r="J20" s="109">
        <v>0</v>
      </c>
      <c r="K20" s="55">
        <f t="shared" si="4"/>
        <v>5000</v>
      </c>
      <c r="M20" s="303"/>
      <c r="N20" s="304"/>
      <c r="O20" s="307">
        <f t="shared" si="18"/>
        <v>0</v>
      </c>
      <c r="P20" s="113">
        <f t="shared" si="19"/>
        <v>0</v>
      </c>
      <c r="Q20" s="35">
        <f t="shared" si="5"/>
        <v>15</v>
      </c>
      <c r="S20" s="305">
        <f t="shared" si="1"/>
        <v>0</v>
      </c>
      <c r="T20" s="306">
        <f t="shared" si="0"/>
        <v>0</v>
      </c>
      <c r="U20" s="307">
        <f t="shared" si="0"/>
        <v>0</v>
      </c>
      <c r="V20" s="113">
        <f t="shared" si="0"/>
        <v>0</v>
      </c>
      <c r="W20" s="35">
        <f t="shared" si="0"/>
        <v>5015</v>
      </c>
      <c r="Y20" s="18">
        <f t="shared" si="6"/>
        <v>0</v>
      </c>
      <c r="Z20" s="49"/>
      <c r="AA20" s="48"/>
    </row>
    <row r="21" spans="2:27" x14ac:dyDescent="0.25">
      <c r="B21" s="99"/>
      <c r="C21" s="125">
        <v>44317</v>
      </c>
      <c r="D21" s="12">
        <f t="shared" si="2"/>
        <v>12</v>
      </c>
      <c r="E21" s="103">
        <f t="shared" si="3"/>
        <v>12</v>
      </c>
      <c r="F21" s="50"/>
      <c r="G21" s="308"/>
      <c r="H21" s="19"/>
      <c r="I21" s="22">
        <f t="shared" si="17"/>
        <v>0</v>
      </c>
      <c r="J21" s="109">
        <v>0</v>
      </c>
      <c r="K21" s="55">
        <f t="shared" si="4"/>
        <v>5000</v>
      </c>
      <c r="M21" s="303"/>
      <c r="N21" s="304"/>
      <c r="O21" s="307">
        <f t="shared" si="18"/>
        <v>0</v>
      </c>
      <c r="P21" s="113">
        <f t="shared" si="19"/>
        <v>0</v>
      </c>
      <c r="Q21" s="35">
        <f t="shared" si="5"/>
        <v>15</v>
      </c>
      <c r="S21" s="305">
        <f t="shared" si="1"/>
        <v>0</v>
      </c>
      <c r="T21" s="306">
        <f t="shared" si="0"/>
        <v>0</v>
      </c>
      <c r="U21" s="307">
        <f t="shared" si="0"/>
        <v>0</v>
      </c>
      <c r="V21" s="113">
        <f t="shared" si="0"/>
        <v>0</v>
      </c>
      <c r="W21" s="35">
        <f t="shared" si="0"/>
        <v>5015</v>
      </c>
      <c r="Y21" s="18">
        <f t="shared" si="6"/>
        <v>0</v>
      </c>
      <c r="Z21" s="47"/>
      <c r="AA21" s="48"/>
    </row>
    <row r="22" spans="2:27" x14ac:dyDescent="0.25">
      <c r="B22" s="116" t="s">
        <v>4</v>
      </c>
      <c r="C22" s="125">
        <v>44348</v>
      </c>
      <c r="D22" s="12">
        <f t="shared" si="2"/>
        <v>13</v>
      </c>
      <c r="E22" s="92">
        <v>1</v>
      </c>
      <c r="F22" s="50"/>
      <c r="G22" s="308"/>
      <c r="H22" s="19"/>
      <c r="I22" s="22">
        <f t="shared" si="17"/>
        <v>0</v>
      </c>
      <c r="J22" s="77">
        <v>0</v>
      </c>
      <c r="K22" s="55">
        <f t="shared" si="4"/>
        <v>5000</v>
      </c>
      <c r="M22" s="303"/>
      <c r="N22" s="304"/>
      <c r="O22" s="307">
        <f t="shared" si="18"/>
        <v>0</v>
      </c>
      <c r="P22" s="80">
        <f t="shared" si="19"/>
        <v>0</v>
      </c>
      <c r="Q22" s="35">
        <f t="shared" si="5"/>
        <v>15</v>
      </c>
      <c r="S22" s="305">
        <f t="shared" si="1"/>
        <v>0</v>
      </c>
      <c r="T22" s="306">
        <f t="shared" si="0"/>
        <v>0</v>
      </c>
      <c r="U22" s="307">
        <f t="shared" si="0"/>
        <v>0</v>
      </c>
      <c r="V22" s="80">
        <f t="shared" si="0"/>
        <v>0</v>
      </c>
      <c r="W22" s="35">
        <f t="shared" si="0"/>
        <v>5015</v>
      </c>
      <c r="Y22" s="18">
        <f t="shared" si="6"/>
        <v>0</v>
      </c>
      <c r="Z22" s="47"/>
      <c r="AA22" s="48"/>
    </row>
    <row r="23" spans="2:27" x14ac:dyDescent="0.25">
      <c r="B23" s="117" t="s">
        <v>12</v>
      </c>
      <c r="C23" s="125">
        <v>44378</v>
      </c>
      <c r="D23" s="12">
        <f t="shared" si="2"/>
        <v>14</v>
      </c>
      <c r="E23" s="92">
        <f>1+E22</f>
        <v>2</v>
      </c>
      <c r="F23" s="50"/>
      <c r="G23" s="308"/>
      <c r="H23" s="19"/>
      <c r="I23" s="22">
        <f t="shared" si="17"/>
        <v>0</v>
      </c>
      <c r="J23" s="77">
        <v>0</v>
      </c>
      <c r="K23" s="55">
        <f t="shared" si="4"/>
        <v>5000</v>
      </c>
      <c r="M23" s="303"/>
      <c r="N23" s="304"/>
      <c r="O23" s="307">
        <f t="shared" si="18"/>
        <v>0</v>
      </c>
      <c r="P23" s="80">
        <f t="shared" si="19"/>
        <v>0</v>
      </c>
      <c r="Q23" s="35">
        <f t="shared" si="5"/>
        <v>15</v>
      </c>
      <c r="S23" s="305">
        <f t="shared" si="1"/>
        <v>0</v>
      </c>
      <c r="T23" s="306">
        <f t="shared" si="0"/>
        <v>0</v>
      </c>
      <c r="U23" s="307">
        <f t="shared" si="0"/>
        <v>0</v>
      </c>
      <c r="V23" s="80">
        <f t="shared" si="0"/>
        <v>0</v>
      </c>
      <c r="W23" s="35">
        <f t="shared" si="0"/>
        <v>5015</v>
      </c>
      <c r="Y23" s="18">
        <f t="shared" si="6"/>
        <v>0</v>
      </c>
      <c r="Z23" s="47"/>
      <c r="AA23" s="48"/>
    </row>
    <row r="24" spans="2:27" x14ac:dyDescent="0.25">
      <c r="B24" s="117"/>
      <c r="C24" s="125">
        <v>44409</v>
      </c>
      <c r="D24" s="12">
        <f t="shared" si="2"/>
        <v>15</v>
      </c>
      <c r="E24" s="92">
        <f t="shared" ref="E24:E79" si="20">1+E23</f>
        <v>3</v>
      </c>
      <c r="F24" s="50"/>
      <c r="G24" s="308"/>
      <c r="H24" s="19"/>
      <c r="I24" s="22">
        <f t="shared" si="17"/>
        <v>0</v>
      </c>
      <c r="J24" s="77">
        <v>0</v>
      </c>
      <c r="K24" s="55">
        <f t="shared" si="4"/>
        <v>5000</v>
      </c>
      <c r="M24" s="303"/>
      <c r="N24" s="304"/>
      <c r="O24" s="307">
        <f t="shared" si="18"/>
        <v>0</v>
      </c>
      <c r="P24" s="80">
        <f t="shared" si="19"/>
        <v>0</v>
      </c>
      <c r="Q24" s="35">
        <f t="shared" si="5"/>
        <v>15</v>
      </c>
      <c r="S24" s="305">
        <f t="shared" si="1"/>
        <v>0</v>
      </c>
      <c r="T24" s="306">
        <f t="shared" si="0"/>
        <v>0</v>
      </c>
      <c r="U24" s="307">
        <f t="shared" si="0"/>
        <v>0</v>
      </c>
      <c r="V24" s="80">
        <f t="shared" si="0"/>
        <v>0</v>
      </c>
      <c r="W24" s="35">
        <f t="shared" si="0"/>
        <v>5015</v>
      </c>
      <c r="Y24" s="18">
        <f t="shared" si="6"/>
        <v>0</v>
      </c>
      <c r="Z24" s="47"/>
      <c r="AA24" s="48"/>
    </row>
    <row r="25" spans="2:27" x14ac:dyDescent="0.25">
      <c r="B25" s="118"/>
      <c r="C25" s="125">
        <v>44440</v>
      </c>
      <c r="D25" s="12">
        <f t="shared" si="2"/>
        <v>16</v>
      </c>
      <c r="E25" s="92">
        <f t="shared" si="20"/>
        <v>4</v>
      </c>
      <c r="F25" s="50"/>
      <c r="G25" s="308"/>
      <c r="H25" s="19"/>
      <c r="I25" s="22">
        <f t="shared" si="17"/>
        <v>0</v>
      </c>
      <c r="J25" s="77">
        <v>0</v>
      </c>
      <c r="K25" s="55">
        <f t="shared" si="4"/>
        <v>5000</v>
      </c>
      <c r="M25" s="303"/>
      <c r="N25" s="304"/>
      <c r="O25" s="307">
        <f t="shared" si="18"/>
        <v>0</v>
      </c>
      <c r="P25" s="80">
        <f t="shared" si="19"/>
        <v>0</v>
      </c>
      <c r="Q25" s="35">
        <f t="shared" si="5"/>
        <v>15</v>
      </c>
      <c r="S25" s="305">
        <f t="shared" si="1"/>
        <v>0</v>
      </c>
      <c r="T25" s="306">
        <f t="shared" si="0"/>
        <v>0</v>
      </c>
      <c r="U25" s="307">
        <f t="shared" si="0"/>
        <v>0</v>
      </c>
      <c r="V25" s="80">
        <f t="shared" si="0"/>
        <v>0</v>
      </c>
      <c r="W25" s="35">
        <f t="shared" si="0"/>
        <v>5015</v>
      </c>
      <c r="Y25" s="18">
        <f t="shared" si="6"/>
        <v>0</v>
      </c>
      <c r="Z25" s="47"/>
      <c r="AA25" s="48"/>
    </row>
    <row r="26" spans="2:27" x14ac:dyDescent="0.25">
      <c r="B26" s="118"/>
      <c r="C26" s="125">
        <v>44470</v>
      </c>
      <c r="D26" s="12">
        <f t="shared" si="2"/>
        <v>17</v>
      </c>
      <c r="E26" s="92">
        <f t="shared" si="20"/>
        <v>5</v>
      </c>
      <c r="F26" s="50"/>
      <c r="G26" s="308"/>
      <c r="H26" s="19"/>
      <c r="I26" s="22">
        <f t="shared" si="17"/>
        <v>0</v>
      </c>
      <c r="J26" s="77">
        <v>0</v>
      </c>
      <c r="K26" s="55">
        <f t="shared" si="4"/>
        <v>5000</v>
      </c>
      <c r="M26" s="303"/>
      <c r="N26" s="304"/>
      <c r="O26" s="307">
        <f t="shared" si="18"/>
        <v>0</v>
      </c>
      <c r="P26" s="80">
        <f t="shared" si="19"/>
        <v>0</v>
      </c>
      <c r="Q26" s="35">
        <f t="shared" si="5"/>
        <v>15</v>
      </c>
      <c r="S26" s="305">
        <f t="shared" si="1"/>
        <v>0</v>
      </c>
      <c r="T26" s="306">
        <f t="shared" si="0"/>
        <v>0</v>
      </c>
      <c r="U26" s="307">
        <f t="shared" si="0"/>
        <v>0</v>
      </c>
      <c r="V26" s="80">
        <f t="shared" si="0"/>
        <v>0</v>
      </c>
      <c r="W26" s="35">
        <f t="shared" si="0"/>
        <v>5015</v>
      </c>
      <c r="Y26" s="18">
        <f t="shared" si="6"/>
        <v>0</v>
      </c>
      <c r="Z26" s="49"/>
      <c r="AA26" s="48"/>
    </row>
    <row r="27" spans="2:27" x14ac:dyDescent="0.25">
      <c r="B27" s="117"/>
      <c r="C27" s="125">
        <v>44501</v>
      </c>
      <c r="D27" s="12">
        <f t="shared" si="2"/>
        <v>18</v>
      </c>
      <c r="E27" s="92">
        <f t="shared" si="20"/>
        <v>6</v>
      </c>
      <c r="F27" s="53">
        <v>1</v>
      </c>
      <c r="G27" s="335"/>
      <c r="H27" s="336"/>
      <c r="I27" s="22">
        <f t="shared" si="17"/>
        <v>25</v>
      </c>
      <c r="J27" s="77">
        <v>100</v>
      </c>
      <c r="K27" s="55">
        <f t="shared" si="4"/>
        <v>5100</v>
      </c>
      <c r="M27" s="335"/>
      <c r="N27" s="336"/>
      <c r="O27" s="22">
        <f t="shared" ref="O27:O79" si="21">P27/4</f>
        <v>5</v>
      </c>
      <c r="P27" s="77">
        <v>20</v>
      </c>
      <c r="Q27" s="35">
        <f t="shared" si="5"/>
        <v>35</v>
      </c>
      <c r="S27" s="305">
        <f t="shared" si="1"/>
        <v>0</v>
      </c>
      <c r="T27" s="306">
        <f t="shared" si="0"/>
        <v>0</v>
      </c>
      <c r="U27" s="307">
        <f t="shared" si="0"/>
        <v>30</v>
      </c>
      <c r="V27" s="80">
        <f t="shared" si="0"/>
        <v>120</v>
      </c>
      <c r="W27" s="35">
        <f t="shared" si="0"/>
        <v>5135</v>
      </c>
      <c r="Y27" s="18">
        <f t="shared" si="6"/>
        <v>120</v>
      </c>
      <c r="Z27" s="47"/>
      <c r="AA27" s="48"/>
    </row>
    <row r="28" spans="2:27" ht="15.75" thickBot="1" x14ac:dyDescent="0.3">
      <c r="B28" s="119"/>
      <c r="C28" s="126">
        <v>44531</v>
      </c>
      <c r="D28" s="13">
        <f t="shared" si="2"/>
        <v>19</v>
      </c>
      <c r="E28" s="93">
        <f t="shared" si="20"/>
        <v>7</v>
      </c>
      <c r="F28" s="95">
        <f>1+F27</f>
        <v>2</v>
      </c>
      <c r="G28" s="337"/>
      <c r="H28" s="338"/>
      <c r="I28" s="310">
        <f t="shared" si="17"/>
        <v>250</v>
      </c>
      <c r="J28" s="78">
        <v>1000</v>
      </c>
      <c r="K28" s="56">
        <f t="shared" si="4"/>
        <v>6100</v>
      </c>
      <c r="M28" s="337"/>
      <c r="N28" s="338"/>
      <c r="O28" s="310">
        <f t="shared" si="21"/>
        <v>8.75</v>
      </c>
      <c r="P28" s="78">
        <v>35</v>
      </c>
      <c r="Q28" s="38">
        <f t="shared" si="5"/>
        <v>70</v>
      </c>
      <c r="S28" s="314">
        <f t="shared" si="1"/>
        <v>0</v>
      </c>
      <c r="T28" s="315">
        <f t="shared" si="0"/>
        <v>0</v>
      </c>
      <c r="U28" s="313">
        <f t="shared" si="0"/>
        <v>258.75</v>
      </c>
      <c r="V28" s="81">
        <f t="shared" si="0"/>
        <v>1035</v>
      </c>
      <c r="W28" s="38">
        <f t="shared" si="0"/>
        <v>6170</v>
      </c>
      <c r="Y28" s="42">
        <f t="shared" si="6"/>
        <v>1155</v>
      </c>
      <c r="Z28" s="43">
        <f>Y28/$W$88</f>
        <v>2.0184191671181167E-3</v>
      </c>
      <c r="AA28" s="44">
        <v>2021</v>
      </c>
    </row>
    <row r="29" spans="2:27" x14ac:dyDescent="0.25">
      <c r="B29" s="116" t="s">
        <v>4</v>
      </c>
      <c r="C29" s="127">
        <v>44562</v>
      </c>
      <c r="D29" s="36">
        <f t="shared" si="2"/>
        <v>20</v>
      </c>
      <c r="E29" s="94">
        <f t="shared" si="20"/>
        <v>8</v>
      </c>
      <c r="F29" s="96">
        <f t="shared" ref="F29:F74" si="22">1+F28</f>
        <v>3</v>
      </c>
      <c r="G29" s="339"/>
      <c r="H29" s="340"/>
      <c r="I29" s="318">
        <f t="shared" si="17"/>
        <v>625</v>
      </c>
      <c r="J29" s="79">
        <v>2500</v>
      </c>
      <c r="K29" s="57">
        <f t="shared" ref="K29:K88" si="23">J29+K28</f>
        <v>8600</v>
      </c>
      <c r="M29" s="339"/>
      <c r="N29" s="340"/>
      <c r="O29" s="318">
        <f t="shared" si="21"/>
        <v>12.5</v>
      </c>
      <c r="P29" s="79">
        <v>50</v>
      </c>
      <c r="Q29" s="37">
        <f t="shared" ref="Q29:Q88" si="24">P29+Q28</f>
        <v>120</v>
      </c>
      <c r="S29" s="322">
        <f t="shared" ref="S29:S79" si="25">G29+M29</f>
        <v>0</v>
      </c>
      <c r="T29" s="323">
        <f t="shared" ref="T29:T79" si="26">H29+N29</f>
        <v>0</v>
      </c>
      <c r="U29" s="321">
        <f t="shared" ref="U29:U79" si="27">I29+O29</f>
        <v>637.5</v>
      </c>
      <c r="V29" s="82">
        <f t="shared" ref="V29:V79" si="28">J29+P29</f>
        <v>2550</v>
      </c>
      <c r="W29" s="37">
        <f t="shared" ref="W29:W88" si="29">K29+Q29</f>
        <v>8720</v>
      </c>
      <c r="Y29" s="41">
        <f>(J29+P29)</f>
        <v>2550</v>
      </c>
      <c r="Z29" s="45"/>
      <c r="AA29" s="46"/>
    </row>
    <row r="30" spans="2:27" x14ac:dyDescent="0.25">
      <c r="B30" s="117" t="s">
        <v>12</v>
      </c>
      <c r="C30" s="125">
        <v>44593</v>
      </c>
      <c r="D30" s="12">
        <f t="shared" si="2"/>
        <v>21</v>
      </c>
      <c r="E30" s="92">
        <f t="shared" si="20"/>
        <v>9</v>
      </c>
      <c r="F30" s="53">
        <f t="shared" si="22"/>
        <v>4</v>
      </c>
      <c r="G30" s="335"/>
      <c r="H30" s="336"/>
      <c r="I30" s="22">
        <f t="shared" si="17"/>
        <v>1000</v>
      </c>
      <c r="J30" s="77">
        <v>4000</v>
      </c>
      <c r="K30" s="55">
        <f t="shared" si="23"/>
        <v>12600</v>
      </c>
      <c r="M30" s="335"/>
      <c r="N30" s="336"/>
      <c r="O30" s="22">
        <f t="shared" si="21"/>
        <v>15</v>
      </c>
      <c r="P30" s="77">
        <v>60</v>
      </c>
      <c r="Q30" s="35">
        <f t="shared" si="24"/>
        <v>180</v>
      </c>
      <c r="S30" s="305">
        <f t="shared" si="25"/>
        <v>0</v>
      </c>
      <c r="T30" s="306">
        <f t="shared" si="26"/>
        <v>0</v>
      </c>
      <c r="U30" s="307">
        <f t="shared" si="27"/>
        <v>1015</v>
      </c>
      <c r="V30" s="80">
        <f t="shared" si="28"/>
        <v>4060</v>
      </c>
      <c r="W30" s="35">
        <f t="shared" si="29"/>
        <v>12780</v>
      </c>
      <c r="Y30" s="18">
        <f t="shared" si="6"/>
        <v>6610</v>
      </c>
      <c r="Z30" s="47"/>
      <c r="AA30" s="48"/>
    </row>
    <row r="31" spans="2:27" x14ac:dyDescent="0.25">
      <c r="B31" s="117" t="s">
        <v>26</v>
      </c>
      <c r="C31" s="125">
        <v>44621</v>
      </c>
      <c r="D31" s="12">
        <f t="shared" si="2"/>
        <v>22</v>
      </c>
      <c r="E31" s="92">
        <f t="shared" si="20"/>
        <v>10</v>
      </c>
      <c r="F31" s="53">
        <f t="shared" si="22"/>
        <v>5</v>
      </c>
      <c r="G31" s="335"/>
      <c r="H31" s="336"/>
      <c r="I31" s="22">
        <f t="shared" si="17"/>
        <v>1625</v>
      </c>
      <c r="J31" s="77">
        <v>6500</v>
      </c>
      <c r="K31" s="55">
        <f t="shared" si="23"/>
        <v>19100</v>
      </c>
      <c r="M31" s="335"/>
      <c r="N31" s="336"/>
      <c r="O31" s="22">
        <f t="shared" si="21"/>
        <v>15</v>
      </c>
      <c r="P31" s="77">
        <v>60</v>
      </c>
      <c r="Q31" s="35">
        <f t="shared" si="24"/>
        <v>240</v>
      </c>
      <c r="S31" s="305">
        <f t="shared" si="25"/>
        <v>0</v>
      </c>
      <c r="T31" s="306">
        <f t="shared" si="26"/>
        <v>0</v>
      </c>
      <c r="U31" s="307">
        <f t="shared" si="27"/>
        <v>1640</v>
      </c>
      <c r="V31" s="80">
        <f t="shared" si="28"/>
        <v>6560</v>
      </c>
      <c r="W31" s="35">
        <f t="shared" si="29"/>
        <v>19340</v>
      </c>
      <c r="Y31" s="18">
        <f t="shared" si="6"/>
        <v>13170</v>
      </c>
      <c r="Z31" s="47"/>
      <c r="AA31" s="48"/>
    </row>
    <row r="32" spans="2:27" x14ac:dyDescent="0.25">
      <c r="B32" s="118"/>
      <c r="C32" s="125">
        <v>44652</v>
      </c>
      <c r="D32" s="12">
        <f t="shared" si="2"/>
        <v>23</v>
      </c>
      <c r="E32" s="92">
        <f t="shared" si="20"/>
        <v>11</v>
      </c>
      <c r="F32" s="53">
        <f t="shared" si="22"/>
        <v>6</v>
      </c>
      <c r="G32" s="335"/>
      <c r="H32" s="336"/>
      <c r="I32" s="22">
        <f t="shared" si="17"/>
        <v>2250</v>
      </c>
      <c r="J32" s="77">
        <v>9000</v>
      </c>
      <c r="K32" s="55">
        <f t="shared" si="23"/>
        <v>28100</v>
      </c>
      <c r="M32" s="335"/>
      <c r="N32" s="336"/>
      <c r="O32" s="22">
        <f t="shared" si="21"/>
        <v>15</v>
      </c>
      <c r="P32" s="77">
        <v>60</v>
      </c>
      <c r="Q32" s="35">
        <f t="shared" si="24"/>
        <v>300</v>
      </c>
      <c r="S32" s="305">
        <f t="shared" si="25"/>
        <v>0</v>
      </c>
      <c r="T32" s="306">
        <f t="shared" si="26"/>
        <v>0</v>
      </c>
      <c r="U32" s="307">
        <f t="shared" si="27"/>
        <v>2265</v>
      </c>
      <c r="V32" s="80">
        <f t="shared" si="28"/>
        <v>9060</v>
      </c>
      <c r="W32" s="35">
        <f t="shared" si="29"/>
        <v>28400</v>
      </c>
      <c r="Y32" s="18">
        <f t="shared" si="6"/>
        <v>22230</v>
      </c>
      <c r="Z32" s="49"/>
      <c r="AA32" s="48"/>
    </row>
    <row r="33" spans="2:27" x14ac:dyDescent="0.25">
      <c r="B33" s="118"/>
      <c r="C33" s="125">
        <v>44682</v>
      </c>
      <c r="D33" s="12">
        <f t="shared" si="2"/>
        <v>24</v>
      </c>
      <c r="E33" s="92">
        <f t="shared" si="20"/>
        <v>12</v>
      </c>
      <c r="F33" s="53">
        <f t="shared" si="22"/>
        <v>7</v>
      </c>
      <c r="G33" s="335"/>
      <c r="H33" s="336"/>
      <c r="I33" s="22">
        <f t="shared" si="17"/>
        <v>2875</v>
      </c>
      <c r="J33" s="77">
        <v>11500</v>
      </c>
      <c r="K33" s="55">
        <f t="shared" si="23"/>
        <v>39600</v>
      </c>
      <c r="M33" s="335"/>
      <c r="N33" s="336"/>
      <c r="O33" s="22">
        <f t="shared" si="21"/>
        <v>15</v>
      </c>
      <c r="P33" s="77">
        <v>60</v>
      </c>
      <c r="Q33" s="35">
        <f t="shared" si="24"/>
        <v>360</v>
      </c>
      <c r="S33" s="305">
        <f t="shared" si="25"/>
        <v>0</v>
      </c>
      <c r="T33" s="306">
        <f t="shared" si="26"/>
        <v>0</v>
      </c>
      <c r="U33" s="307">
        <f t="shared" si="27"/>
        <v>2890</v>
      </c>
      <c r="V33" s="80">
        <f t="shared" si="28"/>
        <v>11560</v>
      </c>
      <c r="W33" s="35">
        <f t="shared" si="29"/>
        <v>39960</v>
      </c>
      <c r="Y33" s="18">
        <f t="shared" si="6"/>
        <v>33790</v>
      </c>
      <c r="Z33" s="47"/>
      <c r="AA33" s="48"/>
    </row>
    <row r="34" spans="2:27" x14ac:dyDescent="0.25">
      <c r="B34" s="117"/>
      <c r="C34" s="125">
        <v>44713</v>
      </c>
      <c r="D34" s="12">
        <f t="shared" si="2"/>
        <v>25</v>
      </c>
      <c r="E34" s="92">
        <f t="shared" si="20"/>
        <v>13</v>
      </c>
      <c r="F34" s="53">
        <f t="shared" si="22"/>
        <v>8</v>
      </c>
      <c r="G34" s="335"/>
      <c r="H34" s="336"/>
      <c r="I34" s="22">
        <f t="shared" si="17"/>
        <v>3393.75</v>
      </c>
      <c r="J34" s="77">
        <v>13575</v>
      </c>
      <c r="K34" s="55">
        <f t="shared" si="23"/>
        <v>53175</v>
      </c>
      <c r="M34" s="335"/>
      <c r="N34" s="336"/>
      <c r="O34" s="22">
        <f t="shared" si="21"/>
        <v>15</v>
      </c>
      <c r="P34" s="77">
        <v>60</v>
      </c>
      <c r="Q34" s="35">
        <f t="shared" si="24"/>
        <v>420</v>
      </c>
      <c r="S34" s="305">
        <f t="shared" si="25"/>
        <v>0</v>
      </c>
      <c r="T34" s="306">
        <f t="shared" si="26"/>
        <v>0</v>
      </c>
      <c r="U34" s="307">
        <f t="shared" si="27"/>
        <v>3408.75</v>
      </c>
      <c r="V34" s="80">
        <f t="shared" si="28"/>
        <v>13635</v>
      </c>
      <c r="W34" s="35">
        <f t="shared" si="29"/>
        <v>53595</v>
      </c>
      <c r="Y34" s="18">
        <f t="shared" si="6"/>
        <v>47425</v>
      </c>
      <c r="Z34" s="47"/>
      <c r="AA34" s="48"/>
    </row>
    <row r="35" spans="2:27" x14ac:dyDescent="0.25">
      <c r="B35" s="117"/>
      <c r="C35" s="125">
        <v>44743</v>
      </c>
      <c r="D35" s="12">
        <f t="shared" si="2"/>
        <v>26</v>
      </c>
      <c r="E35" s="92">
        <f t="shared" si="20"/>
        <v>14</v>
      </c>
      <c r="F35" s="53">
        <f t="shared" si="22"/>
        <v>9</v>
      </c>
      <c r="G35" s="335"/>
      <c r="H35" s="336"/>
      <c r="I35" s="22">
        <f t="shared" si="17"/>
        <v>3393.75</v>
      </c>
      <c r="J35" s="77">
        <v>13575</v>
      </c>
      <c r="K35" s="55">
        <f t="shared" si="23"/>
        <v>66750</v>
      </c>
      <c r="M35" s="335"/>
      <c r="N35" s="336"/>
      <c r="O35" s="22">
        <f t="shared" si="21"/>
        <v>15</v>
      </c>
      <c r="P35" s="77">
        <v>60</v>
      </c>
      <c r="Q35" s="35">
        <f t="shared" si="24"/>
        <v>480</v>
      </c>
      <c r="S35" s="305">
        <f t="shared" si="25"/>
        <v>0</v>
      </c>
      <c r="T35" s="306">
        <f t="shared" si="26"/>
        <v>0</v>
      </c>
      <c r="U35" s="307">
        <f t="shared" si="27"/>
        <v>3408.75</v>
      </c>
      <c r="V35" s="80">
        <f t="shared" si="28"/>
        <v>13635</v>
      </c>
      <c r="W35" s="35">
        <f t="shared" si="29"/>
        <v>67230</v>
      </c>
      <c r="Y35" s="18">
        <f t="shared" si="6"/>
        <v>61060</v>
      </c>
      <c r="Z35" s="47"/>
      <c r="AA35" s="48"/>
    </row>
    <row r="36" spans="2:27" x14ac:dyDescent="0.25">
      <c r="B36" s="117"/>
      <c r="C36" s="125">
        <v>44774</v>
      </c>
      <c r="D36" s="12">
        <f t="shared" si="2"/>
        <v>27</v>
      </c>
      <c r="E36" s="92">
        <f t="shared" si="20"/>
        <v>15</v>
      </c>
      <c r="F36" s="53">
        <f t="shared" si="22"/>
        <v>10</v>
      </c>
      <c r="G36" s="335"/>
      <c r="H36" s="336"/>
      <c r="I36" s="22">
        <f t="shared" si="17"/>
        <v>3393.75</v>
      </c>
      <c r="J36" s="77">
        <v>13575</v>
      </c>
      <c r="K36" s="55">
        <f t="shared" si="23"/>
        <v>80325</v>
      </c>
      <c r="M36" s="335"/>
      <c r="N36" s="336"/>
      <c r="O36" s="22">
        <f t="shared" si="21"/>
        <v>15</v>
      </c>
      <c r="P36" s="77">
        <v>60</v>
      </c>
      <c r="Q36" s="35">
        <f t="shared" si="24"/>
        <v>540</v>
      </c>
      <c r="S36" s="305">
        <f t="shared" si="25"/>
        <v>0</v>
      </c>
      <c r="T36" s="306">
        <f t="shared" si="26"/>
        <v>0</v>
      </c>
      <c r="U36" s="307">
        <f t="shared" si="27"/>
        <v>3408.75</v>
      </c>
      <c r="V36" s="80">
        <f t="shared" si="28"/>
        <v>13635</v>
      </c>
      <c r="W36" s="35">
        <f t="shared" si="29"/>
        <v>80865</v>
      </c>
      <c r="Y36" s="18">
        <f t="shared" si="6"/>
        <v>74695</v>
      </c>
      <c r="Z36" s="47"/>
      <c r="AA36" s="48"/>
    </row>
    <row r="37" spans="2:27" x14ac:dyDescent="0.25">
      <c r="B37" s="118"/>
      <c r="C37" s="125">
        <v>44805</v>
      </c>
      <c r="D37" s="12">
        <f t="shared" si="2"/>
        <v>28</v>
      </c>
      <c r="E37" s="92">
        <f t="shared" si="20"/>
        <v>16</v>
      </c>
      <c r="F37" s="53">
        <f t="shared" si="22"/>
        <v>11</v>
      </c>
      <c r="G37" s="335"/>
      <c r="H37" s="336"/>
      <c r="I37" s="22">
        <f t="shared" si="17"/>
        <v>3393.75</v>
      </c>
      <c r="J37" s="77">
        <v>13575</v>
      </c>
      <c r="K37" s="55">
        <f t="shared" si="23"/>
        <v>93900</v>
      </c>
      <c r="M37" s="335"/>
      <c r="N37" s="336"/>
      <c r="O37" s="22">
        <f t="shared" si="21"/>
        <v>15</v>
      </c>
      <c r="P37" s="77">
        <v>60</v>
      </c>
      <c r="Q37" s="35">
        <f t="shared" si="24"/>
        <v>600</v>
      </c>
      <c r="S37" s="305">
        <f t="shared" si="25"/>
        <v>0</v>
      </c>
      <c r="T37" s="306">
        <f t="shared" si="26"/>
        <v>0</v>
      </c>
      <c r="U37" s="307">
        <f t="shared" si="27"/>
        <v>3408.75</v>
      </c>
      <c r="V37" s="80">
        <f t="shared" si="28"/>
        <v>13635</v>
      </c>
      <c r="W37" s="35">
        <f t="shared" si="29"/>
        <v>94500</v>
      </c>
      <c r="Y37" s="18">
        <f t="shared" si="6"/>
        <v>88330</v>
      </c>
      <c r="Z37" s="47"/>
      <c r="AA37" s="48"/>
    </row>
    <row r="38" spans="2:27" x14ac:dyDescent="0.25">
      <c r="B38" s="118"/>
      <c r="C38" s="125">
        <v>44835</v>
      </c>
      <c r="D38" s="12">
        <f t="shared" si="2"/>
        <v>29</v>
      </c>
      <c r="E38" s="92">
        <f t="shared" si="20"/>
        <v>17</v>
      </c>
      <c r="F38" s="53">
        <f t="shared" si="22"/>
        <v>12</v>
      </c>
      <c r="G38" s="335"/>
      <c r="H38" s="336"/>
      <c r="I38" s="22">
        <f t="shared" si="17"/>
        <v>3393.75</v>
      </c>
      <c r="J38" s="77">
        <v>13575</v>
      </c>
      <c r="K38" s="55">
        <f t="shared" si="23"/>
        <v>107475</v>
      </c>
      <c r="M38" s="335"/>
      <c r="N38" s="336"/>
      <c r="O38" s="22">
        <f t="shared" si="21"/>
        <v>15</v>
      </c>
      <c r="P38" s="77">
        <v>60</v>
      </c>
      <c r="Q38" s="35">
        <f t="shared" si="24"/>
        <v>660</v>
      </c>
      <c r="S38" s="305">
        <f t="shared" si="25"/>
        <v>0</v>
      </c>
      <c r="T38" s="306">
        <f t="shared" si="26"/>
        <v>0</v>
      </c>
      <c r="U38" s="307">
        <f t="shared" si="27"/>
        <v>3408.75</v>
      </c>
      <c r="V38" s="80">
        <f t="shared" si="28"/>
        <v>13635</v>
      </c>
      <c r="W38" s="35">
        <f t="shared" si="29"/>
        <v>108135</v>
      </c>
      <c r="Y38" s="18">
        <f t="shared" si="6"/>
        <v>101965</v>
      </c>
      <c r="Z38" s="49"/>
      <c r="AA38" s="48"/>
    </row>
    <row r="39" spans="2:27" x14ac:dyDescent="0.25">
      <c r="B39" s="117"/>
      <c r="C39" s="125">
        <v>44866</v>
      </c>
      <c r="D39" s="12">
        <f t="shared" si="2"/>
        <v>30</v>
      </c>
      <c r="E39" s="92">
        <f t="shared" si="20"/>
        <v>18</v>
      </c>
      <c r="F39" s="53">
        <f t="shared" si="22"/>
        <v>13</v>
      </c>
      <c r="G39" s="335"/>
      <c r="H39" s="336"/>
      <c r="I39" s="22">
        <f t="shared" si="17"/>
        <v>3393.75</v>
      </c>
      <c r="J39" s="77">
        <v>13575</v>
      </c>
      <c r="K39" s="55">
        <f t="shared" si="23"/>
        <v>121050</v>
      </c>
      <c r="M39" s="335"/>
      <c r="N39" s="336"/>
      <c r="O39" s="22">
        <f t="shared" si="21"/>
        <v>15</v>
      </c>
      <c r="P39" s="77">
        <v>60</v>
      </c>
      <c r="Q39" s="35">
        <f t="shared" si="24"/>
        <v>720</v>
      </c>
      <c r="S39" s="305">
        <f t="shared" si="25"/>
        <v>0</v>
      </c>
      <c r="T39" s="306">
        <f t="shared" si="26"/>
        <v>0</v>
      </c>
      <c r="U39" s="307">
        <f t="shared" si="27"/>
        <v>3408.75</v>
      </c>
      <c r="V39" s="80">
        <f t="shared" si="28"/>
        <v>13635</v>
      </c>
      <c r="W39" s="35">
        <f t="shared" si="29"/>
        <v>121770</v>
      </c>
      <c r="Y39" s="18">
        <f t="shared" si="6"/>
        <v>115600</v>
      </c>
      <c r="Z39" s="47"/>
      <c r="AA39" s="48"/>
    </row>
    <row r="40" spans="2:27" ht="15.75" thickBot="1" x14ac:dyDescent="0.3">
      <c r="B40" s="119"/>
      <c r="C40" s="126">
        <v>44896</v>
      </c>
      <c r="D40" s="13">
        <f t="shared" si="2"/>
        <v>31</v>
      </c>
      <c r="E40" s="93">
        <f t="shared" si="20"/>
        <v>19</v>
      </c>
      <c r="F40" s="95">
        <f t="shared" si="22"/>
        <v>14</v>
      </c>
      <c r="G40" s="337"/>
      <c r="H40" s="338"/>
      <c r="I40" s="310">
        <f t="shared" si="17"/>
        <v>3393.75</v>
      </c>
      <c r="J40" s="78">
        <v>13575</v>
      </c>
      <c r="K40" s="56">
        <f t="shared" si="23"/>
        <v>134625</v>
      </c>
      <c r="M40" s="337"/>
      <c r="N40" s="338"/>
      <c r="O40" s="310">
        <f t="shared" si="21"/>
        <v>15</v>
      </c>
      <c r="P40" s="78">
        <v>60</v>
      </c>
      <c r="Q40" s="38">
        <f t="shared" si="24"/>
        <v>780</v>
      </c>
      <c r="S40" s="314">
        <f t="shared" si="25"/>
        <v>0</v>
      </c>
      <c r="T40" s="315">
        <f t="shared" si="26"/>
        <v>0</v>
      </c>
      <c r="U40" s="313">
        <f t="shared" si="27"/>
        <v>3408.75</v>
      </c>
      <c r="V40" s="81">
        <f t="shared" si="28"/>
        <v>13635</v>
      </c>
      <c r="W40" s="38">
        <f t="shared" si="29"/>
        <v>135405</v>
      </c>
      <c r="Y40" s="42">
        <f t="shared" si="6"/>
        <v>129235</v>
      </c>
      <c r="Z40" s="43">
        <f>Y40/$W$88</f>
        <v>0.22584450308442411</v>
      </c>
      <c r="AA40" s="44">
        <v>2022</v>
      </c>
    </row>
    <row r="41" spans="2:27" x14ac:dyDescent="0.25">
      <c r="B41" s="116" t="s">
        <v>4</v>
      </c>
      <c r="C41" s="127">
        <v>44927</v>
      </c>
      <c r="D41" s="36">
        <f t="shared" si="2"/>
        <v>32</v>
      </c>
      <c r="E41" s="94">
        <f t="shared" si="20"/>
        <v>20</v>
      </c>
      <c r="F41" s="96">
        <f t="shared" si="22"/>
        <v>15</v>
      </c>
      <c r="G41" s="339"/>
      <c r="H41" s="340"/>
      <c r="I41" s="318">
        <f t="shared" si="17"/>
        <v>3393.75</v>
      </c>
      <c r="J41" s="79">
        <v>13575</v>
      </c>
      <c r="K41" s="57">
        <f t="shared" si="23"/>
        <v>148200</v>
      </c>
      <c r="M41" s="339"/>
      <c r="N41" s="340"/>
      <c r="O41" s="318">
        <f t="shared" si="21"/>
        <v>15</v>
      </c>
      <c r="P41" s="79">
        <v>60</v>
      </c>
      <c r="Q41" s="37">
        <f t="shared" si="24"/>
        <v>840</v>
      </c>
      <c r="S41" s="322">
        <f t="shared" si="25"/>
        <v>0</v>
      </c>
      <c r="T41" s="323">
        <f t="shared" si="26"/>
        <v>0</v>
      </c>
      <c r="U41" s="321">
        <f t="shared" si="27"/>
        <v>3408.75</v>
      </c>
      <c r="V41" s="82">
        <f t="shared" si="28"/>
        <v>13635</v>
      </c>
      <c r="W41" s="37">
        <f t="shared" si="29"/>
        <v>149040</v>
      </c>
      <c r="Y41" s="41">
        <f>(J41+P41)</f>
        <v>13635</v>
      </c>
      <c r="Z41" s="45"/>
      <c r="AA41" s="46"/>
    </row>
    <row r="42" spans="2:27" x14ac:dyDescent="0.25">
      <c r="B42" s="117" t="s">
        <v>12</v>
      </c>
      <c r="C42" s="125">
        <v>44958</v>
      </c>
      <c r="D42" s="12">
        <f t="shared" si="2"/>
        <v>33</v>
      </c>
      <c r="E42" s="92">
        <f t="shared" si="20"/>
        <v>21</v>
      </c>
      <c r="F42" s="53">
        <f t="shared" si="22"/>
        <v>16</v>
      </c>
      <c r="G42" s="335"/>
      <c r="H42" s="336"/>
      <c r="I42" s="22">
        <f t="shared" si="17"/>
        <v>3393.75</v>
      </c>
      <c r="J42" s="77">
        <v>13575</v>
      </c>
      <c r="K42" s="55">
        <f t="shared" si="23"/>
        <v>161775</v>
      </c>
      <c r="M42" s="335"/>
      <c r="N42" s="336"/>
      <c r="O42" s="22">
        <f t="shared" si="21"/>
        <v>15</v>
      </c>
      <c r="P42" s="77">
        <v>60</v>
      </c>
      <c r="Q42" s="35">
        <f t="shared" si="24"/>
        <v>900</v>
      </c>
      <c r="S42" s="305">
        <f t="shared" si="25"/>
        <v>0</v>
      </c>
      <c r="T42" s="306">
        <f t="shared" si="26"/>
        <v>0</v>
      </c>
      <c r="U42" s="307">
        <f t="shared" si="27"/>
        <v>3408.75</v>
      </c>
      <c r="V42" s="80">
        <f t="shared" si="28"/>
        <v>13635</v>
      </c>
      <c r="W42" s="35">
        <f t="shared" si="29"/>
        <v>162675</v>
      </c>
      <c r="Y42" s="18">
        <f t="shared" si="6"/>
        <v>27270</v>
      </c>
      <c r="Z42" s="47"/>
      <c r="AA42" s="48"/>
    </row>
    <row r="43" spans="2:27" x14ac:dyDescent="0.25">
      <c r="B43" s="117" t="s">
        <v>26</v>
      </c>
      <c r="C43" s="125">
        <v>44986</v>
      </c>
      <c r="D43" s="12">
        <f t="shared" si="2"/>
        <v>34</v>
      </c>
      <c r="E43" s="92">
        <f t="shared" si="20"/>
        <v>22</v>
      </c>
      <c r="F43" s="53">
        <f t="shared" si="22"/>
        <v>17</v>
      </c>
      <c r="G43" s="335"/>
      <c r="H43" s="336"/>
      <c r="I43" s="22">
        <f t="shared" si="17"/>
        <v>3393.75</v>
      </c>
      <c r="J43" s="77">
        <v>13575</v>
      </c>
      <c r="K43" s="55">
        <f t="shared" si="23"/>
        <v>175350</v>
      </c>
      <c r="M43" s="335"/>
      <c r="N43" s="336"/>
      <c r="O43" s="22">
        <f t="shared" si="21"/>
        <v>15</v>
      </c>
      <c r="P43" s="77">
        <v>60</v>
      </c>
      <c r="Q43" s="35">
        <f t="shared" si="24"/>
        <v>960</v>
      </c>
      <c r="S43" s="305">
        <f t="shared" si="25"/>
        <v>0</v>
      </c>
      <c r="T43" s="306">
        <f t="shared" si="26"/>
        <v>0</v>
      </c>
      <c r="U43" s="307">
        <f t="shared" si="27"/>
        <v>3408.75</v>
      </c>
      <c r="V43" s="80">
        <f t="shared" si="28"/>
        <v>13635</v>
      </c>
      <c r="W43" s="35">
        <f t="shared" si="29"/>
        <v>176310</v>
      </c>
      <c r="Y43" s="18">
        <f t="shared" si="6"/>
        <v>40905</v>
      </c>
      <c r="Z43" s="47"/>
      <c r="AA43" s="48"/>
    </row>
    <row r="44" spans="2:27" x14ac:dyDescent="0.25">
      <c r="B44" s="118"/>
      <c r="C44" s="125">
        <v>45017</v>
      </c>
      <c r="D44" s="12">
        <f t="shared" si="2"/>
        <v>35</v>
      </c>
      <c r="E44" s="92">
        <f t="shared" si="20"/>
        <v>23</v>
      </c>
      <c r="F44" s="53">
        <f t="shared" si="22"/>
        <v>18</v>
      </c>
      <c r="G44" s="335"/>
      <c r="H44" s="336"/>
      <c r="I44" s="22">
        <f t="shared" si="17"/>
        <v>3393.75</v>
      </c>
      <c r="J44" s="77">
        <v>13575</v>
      </c>
      <c r="K44" s="55">
        <f t="shared" si="23"/>
        <v>188925</v>
      </c>
      <c r="M44" s="335"/>
      <c r="N44" s="336"/>
      <c r="O44" s="22">
        <f t="shared" si="21"/>
        <v>15</v>
      </c>
      <c r="P44" s="77">
        <v>60</v>
      </c>
      <c r="Q44" s="35">
        <f t="shared" si="24"/>
        <v>1020</v>
      </c>
      <c r="S44" s="305">
        <f t="shared" si="25"/>
        <v>0</v>
      </c>
      <c r="T44" s="306">
        <f t="shared" si="26"/>
        <v>0</v>
      </c>
      <c r="U44" s="307">
        <f t="shared" si="27"/>
        <v>3408.75</v>
      </c>
      <c r="V44" s="80">
        <f t="shared" si="28"/>
        <v>13635</v>
      </c>
      <c r="W44" s="35">
        <f t="shared" si="29"/>
        <v>189945</v>
      </c>
      <c r="Y44" s="18">
        <f t="shared" si="6"/>
        <v>54540</v>
      </c>
      <c r="Z44" s="49"/>
      <c r="AA44" s="48"/>
    </row>
    <row r="45" spans="2:27" x14ac:dyDescent="0.25">
      <c r="B45" s="118"/>
      <c r="C45" s="125">
        <v>45047</v>
      </c>
      <c r="D45" s="12">
        <f t="shared" si="2"/>
        <v>36</v>
      </c>
      <c r="E45" s="92">
        <f t="shared" si="20"/>
        <v>24</v>
      </c>
      <c r="F45" s="53">
        <f t="shared" si="22"/>
        <v>19</v>
      </c>
      <c r="G45" s="335"/>
      <c r="H45" s="336"/>
      <c r="I45" s="22">
        <f t="shared" si="17"/>
        <v>3393.75</v>
      </c>
      <c r="J45" s="77">
        <v>13575</v>
      </c>
      <c r="K45" s="55">
        <f t="shared" si="23"/>
        <v>202500</v>
      </c>
      <c r="M45" s="335"/>
      <c r="N45" s="336"/>
      <c r="O45" s="22">
        <f t="shared" si="21"/>
        <v>15</v>
      </c>
      <c r="P45" s="77">
        <v>60</v>
      </c>
      <c r="Q45" s="35">
        <f t="shared" si="24"/>
        <v>1080</v>
      </c>
      <c r="S45" s="305">
        <f t="shared" si="25"/>
        <v>0</v>
      </c>
      <c r="T45" s="306">
        <f t="shared" si="26"/>
        <v>0</v>
      </c>
      <c r="U45" s="307">
        <f t="shared" si="27"/>
        <v>3408.75</v>
      </c>
      <c r="V45" s="80">
        <f t="shared" si="28"/>
        <v>13635</v>
      </c>
      <c r="W45" s="35">
        <f t="shared" si="29"/>
        <v>203580</v>
      </c>
      <c r="Y45" s="18">
        <f t="shared" si="6"/>
        <v>68175</v>
      </c>
      <c r="Z45" s="47"/>
      <c r="AA45" s="48"/>
    </row>
    <row r="46" spans="2:27" x14ac:dyDescent="0.25">
      <c r="B46" s="117"/>
      <c r="C46" s="125">
        <v>45078</v>
      </c>
      <c r="D46" s="12">
        <f t="shared" si="2"/>
        <v>37</v>
      </c>
      <c r="E46" s="92">
        <f t="shared" si="20"/>
        <v>25</v>
      </c>
      <c r="F46" s="53">
        <f t="shared" si="22"/>
        <v>20</v>
      </c>
      <c r="G46" s="335"/>
      <c r="H46" s="336"/>
      <c r="I46" s="22">
        <f t="shared" si="17"/>
        <v>3393.75</v>
      </c>
      <c r="J46" s="77">
        <v>13575</v>
      </c>
      <c r="K46" s="55">
        <f t="shared" si="23"/>
        <v>216075</v>
      </c>
      <c r="M46" s="335"/>
      <c r="N46" s="336"/>
      <c r="O46" s="22">
        <f t="shared" si="21"/>
        <v>15</v>
      </c>
      <c r="P46" s="77">
        <v>60</v>
      </c>
      <c r="Q46" s="35">
        <f t="shared" si="24"/>
        <v>1140</v>
      </c>
      <c r="S46" s="305">
        <f t="shared" si="25"/>
        <v>0</v>
      </c>
      <c r="T46" s="306">
        <f t="shared" si="26"/>
        <v>0</v>
      </c>
      <c r="U46" s="307">
        <f t="shared" si="27"/>
        <v>3408.75</v>
      </c>
      <c r="V46" s="80">
        <f t="shared" si="28"/>
        <v>13635</v>
      </c>
      <c r="W46" s="35">
        <f t="shared" si="29"/>
        <v>217215</v>
      </c>
      <c r="Y46" s="18">
        <f t="shared" si="6"/>
        <v>81810</v>
      </c>
      <c r="Z46" s="47"/>
      <c r="AA46" s="48"/>
    </row>
    <row r="47" spans="2:27" x14ac:dyDescent="0.25">
      <c r="B47" s="117"/>
      <c r="C47" s="125">
        <v>45108</v>
      </c>
      <c r="D47" s="12">
        <f t="shared" si="2"/>
        <v>38</v>
      </c>
      <c r="E47" s="92">
        <f t="shared" si="20"/>
        <v>26</v>
      </c>
      <c r="F47" s="53">
        <f t="shared" si="22"/>
        <v>21</v>
      </c>
      <c r="G47" s="335"/>
      <c r="H47" s="336"/>
      <c r="I47" s="22">
        <f t="shared" si="17"/>
        <v>3393.75</v>
      </c>
      <c r="J47" s="77">
        <v>13575</v>
      </c>
      <c r="K47" s="55">
        <f t="shared" si="23"/>
        <v>229650</v>
      </c>
      <c r="M47" s="335"/>
      <c r="N47" s="336"/>
      <c r="O47" s="22">
        <f t="shared" si="21"/>
        <v>15</v>
      </c>
      <c r="P47" s="77">
        <v>60</v>
      </c>
      <c r="Q47" s="35">
        <f t="shared" si="24"/>
        <v>1200</v>
      </c>
      <c r="S47" s="305">
        <f t="shared" si="25"/>
        <v>0</v>
      </c>
      <c r="T47" s="306">
        <f t="shared" si="26"/>
        <v>0</v>
      </c>
      <c r="U47" s="307">
        <f t="shared" si="27"/>
        <v>3408.75</v>
      </c>
      <c r="V47" s="80">
        <f t="shared" si="28"/>
        <v>13635</v>
      </c>
      <c r="W47" s="35">
        <f t="shared" si="29"/>
        <v>230850</v>
      </c>
      <c r="Y47" s="18">
        <f t="shared" si="6"/>
        <v>95445</v>
      </c>
      <c r="Z47" s="47"/>
      <c r="AA47" s="48"/>
    </row>
    <row r="48" spans="2:27" x14ac:dyDescent="0.25">
      <c r="B48" s="117"/>
      <c r="C48" s="125">
        <v>45139</v>
      </c>
      <c r="D48" s="12">
        <f t="shared" si="2"/>
        <v>39</v>
      </c>
      <c r="E48" s="92">
        <f t="shared" si="20"/>
        <v>27</v>
      </c>
      <c r="F48" s="53">
        <f t="shared" si="22"/>
        <v>22</v>
      </c>
      <c r="G48" s="335"/>
      <c r="H48" s="336"/>
      <c r="I48" s="22">
        <f t="shared" si="17"/>
        <v>3393.75</v>
      </c>
      <c r="J48" s="77">
        <v>13575</v>
      </c>
      <c r="K48" s="55">
        <f t="shared" si="23"/>
        <v>243225</v>
      </c>
      <c r="M48" s="335"/>
      <c r="N48" s="336"/>
      <c r="O48" s="22">
        <f t="shared" si="21"/>
        <v>15</v>
      </c>
      <c r="P48" s="77">
        <v>60</v>
      </c>
      <c r="Q48" s="35">
        <f t="shared" si="24"/>
        <v>1260</v>
      </c>
      <c r="S48" s="305">
        <f t="shared" si="25"/>
        <v>0</v>
      </c>
      <c r="T48" s="306">
        <f t="shared" si="26"/>
        <v>0</v>
      </c>
      <c r="U48" s="307">
        <f t="shared" si="27"/>
        <v>3408.75</v>
      </c>
      <c r="V48" s="80">
        <f t="shared" si="28"/>
        <v>13635</v>
      </c>
      <c r="W48" s="35">
        <f t="shared" si="29"/>
        <v>244485</v>
      </c>
      <c r="Y48" s="18">
        <f t="shared" si="6"/>
        <v>109080</v>
      </c>
      <c r="Z48" s="47"/>
      <c r="AA48" s="48"/>
    </row>
    <row r="49" spans="2:27" x14ac:dyDescent="0.25">
      <c r="B49" s="118"/>
      <c r="C49" s="125">
        <v>45170</v>
      </c>
      <c r="D49" s="12">
        <f t="shared" si="2"/>
        <v>40</v>
      </c>
      <c r="E49" s="92">
        <f t="shared" si="20"/>
        <v>28</v>
      </c>
      <c r="F49" s="53">
        <f t="shared" si="22"/>
        <v>23</v>
      </c>
      <c r="G49" s="335"/>
      <c r="H49" s="336"/>
      <c r="I49" s="22">
        <f t="shared" si="17"/>
        <v>3393.75</v>
      </c>
      <c r="J49" s="77">
        <v>13575</v>
      </c>
      <c r="K49" s="55">
        <f t="shared" si="23"/>
        <v>256800</v>
      </c>
      <c r="M49" s="335"/>
      <c r="N49" s="336"/>
      <c r="O49" s="22">
        <f t="shared" si="21"/>
        <v>15</v>
      </c>
      <c r="P49" s="77">
        <v>60</v>
      </c>
      <c r="Q49" s="35">
        <f t="shared" si="24"/>
        <v>1320</v>
      </c>
      <c r="S49" s="305">
        <f t="shared" si="25"/>
        <v>0</v>
      </c>
      <c r="T49" s="306">
        <f t="shared" si="26"/>
        <v>0</v>
      </c>
      <c r="U49" s="307">
        <f t="shared" si="27"/>
        <v>3408.75</v>
      </c>
      <c r="V49" s="80">
        <f t="shared" si="28"/>
        <v>13635</v>
      </c>
      <c r="W49" s="35">
        <f t="shared" si="29"/>
        <v>258120</v>
      </c>
      <c r="Y49" s="18">
        <f t="shared" si="6"/>
        <v>122715</v>
      </c>
      <c r="Z49" s="47"/>
      <c r="AA49" s="48"/>
    </row>
    <row r="50" spans="2:27" x14ac:dyDescent="0.25">
      <c r="B50" s="118"/>
      <c r="C50" s="125">
        <v>45200</v>
      </c>
      <c r="D50" s="12">
        <f t="shared" si="2"/>
        <v>41</v>
      </c>
      <c r="E50" s="92">
        <f t="shared" si="20"/>
        <v>29</v>
      </c>
      <c r="F50" s="53">
        <f t="shared" si="22"/>
        <v>24</v>
      </c>
      <c r="G50" s="335"/>
      <c r="H50" s="336"/>
      <c r="I50" s="22">
        <f t="shared" si="17"/>
        <v>3393.75</v>
      </c>
      <c r="J50" s="77">
        <v>13575</v>
      </c>
      <c r="K50" s="55">
        <f t="shared" si="23"/>
        <v>270375</v>
      </c>
      <c r="M50" s="335"/>
      <c r="N50" s="336"/>
      <c r="O50" s="22">
        <f t="shared" si="21"/>
        <v>15</v>
      </c>
      <c r="P50" s="77">
        <v>60</v>
      </c>
      <c r="Q50" s="35">
        <f t="shared" si="24"/>
        <v>1380</v>
      </c>
      <c r="S50" s="305">
        <f t="shared" si="25"/>
        <v>0</v>
      </c>
      <c r="T50" s="306">
        <f t="shared" si="26"/>
        <v>0</v>
      </c>
      <c r="U50" s="307">
        <f t="shared" si="27"/>
        <v>3408.75</v>
      </c>
      <c r="V50" s="80">
        <f t="shared" si="28"/>
        <v>13635</v>
      </c>
      <c r="W50" s="35">
        <f t="shared" si="29"/>
        <v>271755</v>
      </c>
      <c r="Y50" s="18">
        <f t="shared" si="6"/>
        <v>136350</v>
      </c>
      <c r="Z50" s="49"/>
      <c r="AA50" s="48"/>
    </row>
    <row r="51" spans="2:27" x14ac:dyDescent="0.25">
      <c r="B51" s="117"/>
      <c r="C51" s="125">
        <v>45231</v>
      </c>
      <c r="D51" s="12">
        <f t="shared" si="2"/>
        <v>42</v>
      </c>
      <c r="E51" s="92">
        <f t="shared" si="20"/>
        <v>30</v>
      </c>
      <c r="F51" s="53">
        <f t="shared" si="22"/>
        <v>25</v>
      </c>
      <c r="G51" s="335"/>
      <c r="H51" s="336"/>
      <c r="I51" s="22">
        <f t="shared" si="17"/>
        <v>3393.75</v>
      </c>
      <c r="J51" s="77">
        <v>13575</v>
      </c>
      <c r="K51" s="55">
        <f t="shared" si="23"/>
        <v>283950</v>
      </c>
      <c r="M51" s="335"/>
      <c r="N51" s="336"/>
      <c r="O51" s="22">
        <f t="shared" si="21"/>
        <v>15</v>
      </c>
      <c r="P51" s="77">
        <v>60</v>
      </c>
      <c r="Q51" s="35">
        <f t="shared" si="24"/>
        <v>1440</v>
      </c>
      <c r="S51" s="305">
        <f t="shared" si="25"/>
        <v>0</v>
      </c>
      <c r="T51" s="306">
        <f t="shared" si="26"/>
        <v>0</v>
      </c>
      <c r="U51" s="307">
        <f t="shared" si="27"/>
        <v>3408.75</v>
      </c>
      <c r="V51" s="80">
        <f t="shared" si="28"/>
        <v>13635</v>
      </c>
      <c r="W51" s="35">
        <f t="shared" si="29"/>
        <v>285390</v>
      </c>
      <c r="Y51" s="18">
        <f t="shared" si="6"/>
        <v>149985</v>
      </c>
      <c r="Z51" s="47"/>
      <c r="AA51" s="48"/>
    </row>
    <row r="52" spans="2:27" ht="15.75" thickBot="1" x14ac:dyDescent="0.3">
      <c r="B52" s="119"/>
      <c r="C52" s="126">
        <v>45261</v>
      </c>
      <c r="D52" s="13">
        <f t="shared" si="2"/>
        <v>43</v>
      </c>
      <c r="E52" s="93">
        <f t="shared" si="20"/>
        <v>31</v>
      </c>
      <c r="F52" s="95">
        <f t="shared" si="22"/>
        <v>26</v>
      </c>
      <c r="G52" s="337"/>
      <c r="H52" s="338"/>
      <c r="I52" s="310">
        <f t="shared" si="17"/>
        <v>3393.75</v>
      </c>
      <c r="J52" s="78">
        <v>13575</v>
      </c>
      <c r="K52" s="56">
        <f t="shared" si="23"/>
        <v>297525</v>
      </c>
      <c r="M52" s="337"/>
      <c r="N52" s="338"/>
      <c r="O52" s="310">
        <f t="shared" si="21"/>
        <v>15</v>
      </c>
      <c r="P52" s="78">
        <v>60</v>
      </c>
      <c r="Q52" s="38">
        <f t="shared" si="24"/>
        <v>1500</v>
      </c>
      <c r="S52" s="314">
        <f t="shared" si="25"/>
        <v>0</v>
      </c>
      <c r="T52" s="315">
        <f t="shared" si="26"/>
        <v>0</v>
      </c>
      <c r="U52" s="313">
        <f t="shared" si="27"/>
        <v>3408.75</v>
      </c>
      <c r="V52" s="81">
        <f t="shared" si="28"/>
        <v>13635</v>
      </c>
      <c r="W52" s="38">
        <f t="shared" si="29"/>
        <v>299025</v>
      </c>
      <c r="Y52" s="42">
        <f t="shared" si="6"/>
        <v>163620</v>
      </c>
      <c r="Z52" s="43">
        <f>Y52/$W$88</f>
        <v>0.28593397759642103</v>
      </c>
      <c r="AA52" s="44">
        <v>2023</v>
      </c>
    </row>
    <row r="53" spans="2:27" x14ac:dyDescent="0.25">
      <c r="B53" s="116" t="s">
        <v>4</v>
      </c>
      <c r="C53" s="127">
        <v>45292</v>
      </c>
      <c r="D53" s="36">
        <f t="shared" si="2"/>
        <v>44</v>
      </c>
      <c r="E53" s="94">
        <f t="shared" si="20"/>
        <v>32</v>
      </c>
      <c r="F53" s="96">
        <f t="shared" si="22"/>
        <v>27</v>
      </c>
      <c r="G53" s="339"/>
      <c r="H53" s="340"/>
      <c r="I53" s="318">
        <f t="shared" si="17"/>
        <v>3393.75</v>
      </c>
      <c r="J53" s="79">
        <v>13575</v>
      </c>
      <c r="K53" s="57">
        <f t="shared" si="23"/>
        <v>311100</v>
      </c>
      <c r="M53" s="339"/>
      <c r="N53" s="340"/>
      <c r="O53" s="318">
        <f t="shared" si="21"/>
        <v>15</v>
      </c>
      <c r="P53" s="79">
        <v>60</v>
      </c>
      <c r="Q53" s="37">
        <f t="shared" si="24"/>
        <v>1560</v>
      </c>
      <c r="S53" s="322">
        <f t="shared" si="25"/>
        <v>0</v>
      </c>
      <c r="T53" s="323">
        <f t="shared" si="26"/>
        <v>0</v>
      </c>
      <c r="U53" s="321">
        <f t="shared" si="27"/>
        <v>3408.75</v>
      </c>
      <c r="V53" s="82">
        <f t="shared" si="28"/>
        <v>13635</v>
      </c>
      <c r="W53" s="37">
        <f t="shared" si="29"/>
        <v>312660</v>
      </c>
      <c r="Y53" s="41">
        <f>(J53+P53)</f>
        <v>13635</v>
      </c>
      <c r="Z53" s="45"/>
      <c r="AA53" s="46"/>
    </row>
    <row r="54" spans="2:27" x14ac:dyDescent="0.25">
      <c r="B54" s="117" t="s">
        <v>12</v>
      </c>
      <c r="C54" s="125">
        <v>45323</v>
      </c>
      <c r="D54" s="12">
        <f t="shared" si="2"/>
        <v>45</v>
      </c>
      <c r="E54" s="92">
        <f t="shared" si="20"/>
        <v>33</v>
      </c>
      <c r="F54" s="53">
        <f t="shared" si="22"/>
        <v>28</v>
      </c>
      <c r="G54" s="335"/>
      <c r="H54" s="336"/>
      <c r="I54" s="22">
        <f t="shared" si="17"/>
        <v>3393.75</v>
      </c>
      <c r="J54" s="77">
        <v>13575</v>
      </c>
      <c r="K54" s="55">
        <f t="shared" si="23"/>
        <v>324675</v>
      </c>
      <c r="M54" s="335"/>
      <c r="N54" s="336"/>
      <c r="O54" s="22">
        <f t="shared" si="21"/>
        <v>15</v>
      </c>
      <c r="P54" s="77">
        <v>60</v>
      </c>
      <c r="Q54" s="35">
        <f t="shared" si="24"/>
        <v>1620</v>
      </c>
      <c r="S54" s="305">
        <f t="shared" si="25"/>
        <v>0</v>
      </c>
      <c r="T54" s="306">
        <f t="shared" si="26"/>
        <v>0</v>
      </c>
      <c r="U54" s="307">
        <f t="shared" si="27"/>
        <v>3408.75</v>
      </c>
      <c r="V54" s="80">
        <f t="shared" si="28"/>
        <v>13635</v>
      </c>
      <c r="W54" s="35">
        <f t="shared" si="29"/>
        <v>326295</v>
      </c>
      <c r="Y54" s="18">
        <f t="shared" si="6"/>
        <v>27270</v>
      </c>
      <c r="Z54" s="47"/>
      <c r="AA54" s="48"/>
    </row>
    <row r="55" spans="2:27" x14ac:dyDescent="0.25">
      <c r="B55" s="117" t="s">
        <v>26</v>
      </c>
      <c r="C55" s="125">
        <v>45352</v>
      </c>
      <c r="D55" s="12">
        <f t="shared" si="2"/>
        <v>46</v>
      </c>
      <c r="E55" s="92">
        <f t="shared" si="20"/>
        <v>34</v>
      </c>
      <c r="F55" s="53">
        <f t="shared" si="22"/>
        <v>29</v>
      </c>
      <c r="G55" s="335"/>
      <c r="H55" s="336"/>
      <c r="I55" s="22">
        <f t="shared" si="17"/>
        <v>3393.75</v>
      </c>
      <c r="J55" s="77">
        <v>13575</v>
      </c>
      <c r="K55" s="55">
        <f t="shared" si="23"/>
        <v>338250</v>
      </c>
      <c r="M55" s="335"/>
      <c r="N55" s="336"/>
      <c r="O55" s="22">
        <f t="shared" si="21"/>
        <v>15</v>
      </c>
      <c r="P55" s="77">
        <v>60</v>
      </c>
      <c r="Q55" s="35">
        <f t="shared" si="24"/>
        <v>1680</v>
      </c>
      <c r="S55" s="305">
        <f t="shared" si="25"/>
        <v>0</v>
      </c>
      <c r="T55" s="306">
        <f t="shared" si="26"/>
        <v>0</v>
      </c>
      <c r="U55" s="307">
        <f t="shared" si="27"/>
        <v>3408.75</v>
      </c>
      <c r="V55" s="80">
        <f t="shared" si="28"/>
        <v>13635</v>
      </c>
      <c r="W55" s="35">
        <f t="shared" si="29"/>
        <v>339930</v>
      </c>
      <c r="Y55" s="18">
        <f t="shared" si="6"/>
        <v>40905</v>
      </c>
      <c r="Z55" s="47"/>
      <c r="AA55" s="48"/>
    </row>
    <row r="56" spans="2:27" x14ac:dyDescent="0.25">
      <c r="B56" s="118"/>
      <c r="C56" s="125">
        <v>45383</v>
      </c>
      <c r="D56" s="12">
        <f t="shared" si="2"/>
        <v>47</v>
      </c>
      <c r="E56" s="92">
        <f t="shared" si="20"/>
        <v>35</v>
      </c>
      <c r="F56" s="53">
        <f t="shared" si="22"/>
        <v>30</v>
      </c>
      <c r="G56" s="335"/>
      <c r="H56" s="336"/>
      <c r="I56" s="22">
        <f t="shared" si="17"/>
        <v>3393.75</v>
      </c>
      <c r="J56" s="77">
        <v>13575</v>
      </c>
      <c r="K56" s="55">
        <f t="shared" si="23"/>
        <v>351825</v>
      </c>
      <c r="M56" s="335"/>
      <c r="N56" s="336"/>
      <c r="O56" s="22">
        <f t="shared" si="21"/>
        <v>15</v>
      </c>
      <c r="P56" s="77">
        <v>60</v>
      </c>
      <c r="Q56" s="35">
        <f t="shared" si="24"/>
        <v>1740</v>
      </c>
      <c r="S56" s="305">
        <f t="shared" si="25"/>
        <v>0</v>
      </c>
      <c r="T56" s="306">
        <f t="shared" si="26"/>
        <v>0</v>
      </c>
      <c r="U56" s="307">
        <f t="shared" si="27"/>
        <v>3408.75</v>
      </c>
      <c r="V56" s="80">
        <f t="shared" si="28"/>
        <v>13635</v>
      </c>
      <c r="W56" s="35">
        <f t="shared" si="29"/>
        <v>353565</v>
      </c>
      <c r="Y56" s="18">
        <f t="shared" si="6"/>
        <v>54540</v>
      </c>
      <c r="Z56" s="49"/>
      <c r="AA56" s="48"/>
    </row>
    <row r="57" spans="2:27" x14ac:dyDescent="0.25">
      <c r="B57" s="118"/>
      <c r="C57" s="125">
        <v>45413</v>
      </c>
      <c r="D57" s="12">
        <f t="shared" si="2"/>
        <v>48</v>
      </c>
      <c r="E57" s="92">
        <f t="shared" si="20"/>
        <v>36</v>
      </c>
      <c r="F57" s="53">
        <f t="shared" si="22"/>
        <v>31</v>
      </c>
      <c r="G57" s="335"/>
      <c r="H57" s="336"/>
      <c r="I57" s="22">
        <f t="shared" si="17"/>
        <v>3393.75</v>
      </c>
      <c r="J57" s="77">
        <v>13575</v>
      </c>
      <c r="K57" s="55">
        <f t="shared" si="23"/>
        <v>365400</v>
      </c>
      <c r="M57" s="335"/>
      <c r="N57" s="336"/>
      <c r="O57" s="22">
        <f t="shared" si="21"/>
        <v>15</v>
      </c>
      <c r="P57" s="77">
        <v>60</v>
      </c>
      <c r="Q57" s="35">
        <f t="shared" si="24"/>
        <v>1800</v>
      </c>
      <c r="S57" s="305">
        <f t="shared" si="25"/>
        <v>0</v>
      </c>
      <c r="T57" s="306">
        <f t="shared" si="26"/>
        <v>0</v>
      </c>
      <c r="U57" s="307">
        <f t="shared" si="27"/>
        <v>3408.75</v>
      </c>
      <c r="V57" s="80">
        <f t="shared" si="28"/>
        <v>13635</v>
      </c>
      <c r="W57" s="35">
        <f t="shared" si="29"/>
        <v>367200</v>
      </c>
      <c r="Y57" s="18">
        <f t="shared" si="6"/>
        <v>68175</v>
      </c>
      <c r="Z57" s="47"/>
      <c r="AA57" s="48"/>
    </row>
    <row r="58" spans="2:27" x14ac:dyDescent="0.25">
      <c r="B58" s="117"/>
      <c r="C58" s="125">
        <v>45444</v>
      </c>
      <c r="D58" s="12">
        <f t="shared" si="2"/>
        <v>49</v>
      </c>
      <c r="E58" s="92">
        <f t="shared" si="20"/>
        <v>37</v>
      </c>
      <c r="F58" s="53">
        <f t="shared" si="22"/>
        <v>32</v>
      </c>
      <c r="G58" s="335"/>
      <c r="H58" s="336"/>
      <c r="I58" s="22">
        <f t="shared" si="17"/>
        <v>3393.75</v>
      </c>
      <c r="J58" s="77">
        <v>13575</v>
      </c>
      <c r="K58" s="55">
        <f t="shared" si="23"/>
        <v>378975</v>
      </c>
      <c r="M58" s="335"/>
      <c r="N58" s="336"/>
      <c r="O58" s="22">
        <f t="shared" si="21"/>
        <v>15</v>
      </c>
      <c r="P58" s="77">
        <v>60</v>
      </c>
      <c r="Q58" s="35">
        <f t="shared" si="24"/>
        <v>1860</v>
      </c>
      <c r="S58" s="305">
        <f t="shared" si="25"/>
        <v>0</v>
      </c>
      <c r="T58" s="306">
        <f t="shared" si="26"/>
        <v>0</v>
      </c>
      <c r="U58" s="307">
        <f t="shared" si="27"/>
        <v>3408.75</v>
      </c>
      <c r="V58" s="80">
        <f t="shared" si="28"/>
        <v>13635</v>
      </c>
      <c r="W58" s="35">
        <f t="shared" si="29"/>
        <v>380835</v>
      </c>
      <c r="Y58" s="18">
        <f t="shared" si="6"/>
        <v>81810</v>
      </c>
      <c r="Z58" s="47"/>
      <c r="AA58" s="48"/>
    </row>
    <row r="59" spans="2:27" x14ac:dyDescent="0.25">
      <c r="B59" s="117"/>
      <c r="C59" s="125">
        <v>45474</v>
      </c>
      <c r="D59" s="12">
        <f t="shared" si="2"/>
        <v>50</v>
      </c>
      <c r="E59" s="92">
        <f t="shared" si="20"/>
        <v>38</v>
      </c>
      <c r="F59" s="53">
        <f t="shared" si="22"/>
        <v>33</v>
      </c>
      <c r="G59" s="335"/>
      <c r="H59" s="336"/>
      <c r="I59" s="22">
        <f t="shared" si="17"/>
        <v>3393.75</v>
      </c>
      <c r="J59" s="77">
        <v>13575</v>
      </c>
      <c r="K59" s="55">
        <f t="shared" si="23"/>
        <v>392550</v>
      </c>
      <c r="M59" s="335"/>
      <c r="N59" s="336"/>
      <c r="O59" s="22">
        <f t="shared" si="21"/>
        <v>15</v>
      </c>
      <c r="P59" s="77">
        <v>60</v>
      </c>
      <c r="Q59" s="35">
        <f t="shared" si="24"/>
        <v>1920</v>
      </c>
      <c r="S59" s="305">
        <f t="shared" si="25"/>
        <v>0</v>
      </c>
      <c r="T59" s="306">
        <f t="shared" si="26"/>
        <v>0</v>
      </c>
      <c r="U59" s="307">
        <f t="shared" si="27"/>
        <v>3408.75</v>
      </c>
      <c r="V59" s="80">
        <f t="shared" si="28"/>
        <v>13635</v>
      </c>
      <c r="W59" s="35">
        <f t="shared" si="29"/>
        <v>394470</v>
      </c>
      <c r="Y59" s="18">
        <f t="shared" si="6"/>
        <v>95445</v>
      </c>
      <c r="Z59" s="47"/>
      <c r="AA59" s="48"/>
    </row>
    <row r="60" spans="2:27" x14ac:dyDescent="0.25">
      <c r="B60" s="117"/>
      <c r="C60" s="125">
        <v>45505</v>
      </c>
      <c r="D60" s="12">
        <f t="shared" si="2"/>
        <v>51</v>
      </c>
      <c r="E60" s="92">
        <f t="shared" si="20"/>
        <v>39</v>
      </c>
      <c r="F60" s="53">
        <f t="shared" si="22"/>
        <v>34</v>
      </c>
      <c r="G60" s="335"/>
      <c r="H60" s="336"/>
      <c r="I60" s="22">
        <f t="shared" si="17"/>
        <v>3393.75</v>
      </c>
      <c r="J60" s="77">
        <v>13575</v>
      </c>
      <c r="K60" s="55">
        <f t="shared" si="23"/>
        <v>406125</v>
      </c>
      <c r="M60" s="335"/>
      <c r="N60" s="336"/>
      <c r="O60" s="22">
        <f t="shared" si="21"/>
        <v>15</v>
      </c>
      <c r="P60" s="77">
        <v>60</v>
      </c>
      <c r="Q60" s="35">
        <f t="shared" si="24"/>
        <v>1980</v>
      </c>
      <c r="S60" s="305">
        <f t="shared" si="25"/>
        <v>0</v>
      </c>
      <c r="T60" s="306">
        <f t="shared" si="26"/>
        <v>0</v>
      </c>
      <c r="U60" s="307">
        <f t="shared" si="27"/>
        <v>3408.75</v>
      </c>
      <c r="V60" s="80">
        <f t="shared" si="28"/>
        <v>13635</v>
      </c>
      <c r="W60" s="35">
        <f t="shared" si="29"/>
        <v>408105</v>
      </c>
      <c r="Y60" s="18">
        <f t="shared" si="6"/>
        <v>109080</v>
      </c>
      <c r="Z60" s="47"/>
      <c r="AA60" s="48"/>
    </row>
    <row r="61" spans="2:27" x14ac:dyDescent="0.25">
      <c r="B61" s="118"/>
      <c r="C61" s="125">
        <v>45536</v>
      </c>
      <c r="D61" s="12">
        <f t="shared" si="2"/>
        <v>52</v>
      </c>
      <c r="E61" s="92">
        <f t="shared" si="20"/>
        <v>40</v>
      </c>
      <c r="F61" s="53">
        <f t="shared" si="22"/>
        <v>35</v>
      </c>
      <c r="G61" s="335"/>
      <c r="H61" s="336"/>
      <c r="I61" s="22">
        <f t="shared" si="17"/>
        <v>3393.75</v>
      </c>
      <c r="J61" s="77">
        <v>13575</v>
      </c>
      <c r="K61" s="55">
        <f t="shared" si="23"/>
        <v>419700</v>
      </c>
      <c r="M61" s="335"/>
      <c r="N61" s="336"/>
      <c r="O61" s="22">
        <f t="shared" si="21"/>
        <v>15</v>
      </c>
      <c r="P61" s="77">
        <v>60</v>
      </c>
      <c r="Q61" s="35">
        <f t="shared" si="24"/>
        <v>2040</v>
      </c>
      <c r="S61" s="305">
        <f t="shared" si="25"/>
        <v>0</v>
      </c>
      <c r="T61" s="306">
        <f t="shared" si="26"/>
        <v>0</v>
      </c>
      <c r="U61" s="307">
        <f t="shared" si="27"/>
        <v>3408.75</v>
      </c>
      <c r="V61" s="80">
        <f t="shared" si="28"/>
        <v>13635</v>
      </c>
      <c r="W61" s="35">
        <f t="shared" si="29"/>
        <v>421740</v>
      </c>
      <c r="Y61" s="18">
        <f t="shared" si="6"/>
        <v>122715</v>
      </c>
      <c r="Z61" s="47"/>
      <c r="AA61" s="48"/>
    </row>
    <row r="62" spans="2:27" x14ac:dyDescent="0.25">
      <c r="B62" s="118"/>
      <c r="C62" s="125">
        <v>45566</v>
      </c>
      <c r="D62" s="12">
        <f t="shared" si="2"/>
        <v>53</v>
      </c>
      <c r="E62" s="92">
        <f t="shared" si="20"/>
        <v>41</v>
      </c>
      <c r="F62" s="53">
        <f t="shared" si="22"/>
        <v>36</v>
      </c>
      <c r="G62" s="335"/>
      <c r="H62" s="336"/>
      <c r="I62" s="22">
        <f t="shared" si="17"/>
        <v>3393.75</v>
      </c>
      <c r="J62" s="77">
        <v>13575</v>
      </c>
      <c r="K62" s="55">
        <f t="shared" si="23"/>
        <v>433275</v>
      </c>
      <c r="M62" s="335"/>
      <c r="N62" s="336"/>
      <c r="O62" s="22">
        <f t="shared" si="21"/>
        <v>15</v>
      </c>
      <c r="P62" s="77">
        <v>60</v>
      </c>
      <c r="Q62" s="35">
        <f t="shared" si="24"/>
        <v>2100</v>
      </c>
      <c r="S62" s="305">
        <f t="shared" si="25"/>
        <v>0</v>
      </c>
      <c r="T62" s="306">
        <f t="shared" si="26"/>
        <v>0</v>
      </c>
      <c r="U62" s="307">
        <f t="shared" si="27"/>
        <v>3408.75</v>
      </c>
      <c r="V62" s="80">
        <f t="shared" si="28"/>
        <v>13635</v>
      </c>
      <c r="W62" s="35">
        <f t="shared" si="29"/>
        <v>435375</v>
      </c>
      <c r="Y62" s="18">
        <f t="shared" si="6"/>
        <v>136350</v>
      </c>
      <c r="Z62" s="49"/>
      <c r="AA62" s="48"/>
    </row>
    <row r="63" spans="2:27" x14ac:dyDescent="0.25">
      <c r="B63" s="117"/>
      <c r="C63" s="125">
        <v>45597</v>
      </c>
      <c r="D63" s="12">
        <f t="shared" si="2"/>
        <v>54</v>
      </c>
      <c r="E63" s="92">
        <f t="shared" si="20"/>
        <v>42</v>
      </c>
      <c r="F63" s="53">
        <f t="shared" si="22"/>
        <v>37</v>
      </c>
      <c r="G63" s="335"/>
      <c r="H63" s="336"/>
      <c r="I63" s="22">
        <f t="shared" si="17"/>
        <v>3393.75</v>
      </c>
      <c r="J63" s="77">
        <v>13575</v>
      </c>
      <c r="K63" s="55">
        <f t="shared" si="23"/>
        <v>446850</v>
      </c>
      <c r="M63" s="335"/>
      <c r="N63" s="336"/>
      <c r="O63" s="22">
        <f t="shared" si="21"/>
        <v>15</v>
      </c>
      <c r="P63" s="77">
        <v>60</v>
      </c>
      <c r="Q63" s="35">
        <f t="shared" si="24"/>
        <v>2160</v>
      </c>
      <c r="S63" s="305">
        <f t="shared" si="25"/>
        <v>0</v>
      </c>
      <c r="T63" s="306">
        <f t="shared" si="26"/>
        <v>0</v>
      </c>
      <c r="U63" s="307">
        <f t="shared" si="27"/>
        <v>3408.75</v>
      </c>
      <c r="V63" s="80">
        <f t="shared" si="28"/>
        <v>13635</v>
      </c>
      <c r="W63" s="35">
        <f t="shared" si="29"/>
        <v>449010</v>
      </c>
      <c r="Y63" s="18">
        <f t="shared" si="6"/>
        <v>149985</v>
      </c>
      <c r="Z63" s="47"/>
      <c r="AA63" s="48"/>
    </row>
    <row r="64" spans="2:27" ht="15.75" thickBot="1" x14ac:dyDescent="0.3">
      <c r="B64" s="119"/>
      <c r="C64" s="126">
        <v>45627</v>
      </c>
      <c r="D64" s="13">
        <f t="shared" si="2"/>
        <v>55</v>
      </c>
      <c r="E64" s="93">
        <f t="shared" si="20"/>
        <v>43</v>
      </c>
      <c r="F64" s="95">
        <f t="shared" si="22"/>
        <v>38</v>
      </c>
      <c r="G64" s="337"/>
      <c r="H64" s="338"/>
      <c r="I64" s="310">
        <f t="shared" si="17"/>
        <v>3393.75</v>
      </c>
      <c r="J64" s="78">
        <v>13575</v>
      </c>
      <c r="K64" s="56">
        <f t="shared" si="23"/>
        <v>460425</v>
      </c>
      <c r="M64" s="337"/>
      <c r="N64" s="338"/>
      <c r="O64" s="310">
        <f t="shared" si="21"/>
        <v>15</v>
      </c>
      <c r="P64" s="78">
        <v>60</v>
      </c>
      <c r="Q64" s="38">
        <f t="shared" si="24"/>
        <v>2220</v>
      </c>
      <c r="S64" s="314">
        <f t="shared" si="25"/>
        <v>0</v>
      </c>
      <c r="T64" s="315">
        <f t="shared" si="26"/>
        <v>0</v>
      </c>
      <c r="U64" s="313">
        <f t="shared" si="27"/>
        <v>3408.75</v>
      </c>
      <c r="V64" s="81">
        <f t="shared" si="28"/>
        <v>13635</v>
      </c>
      <c r="W64" s="38">
        <f t="shared" si="29"/>
        <v>462645</v>
      </c>
      <c r="Y64" s="42">
        <f t="shared" si="6"/>
        <v>163620</v>
      </c>
      <c r="Z64" s="43">
        <f>Y64/$W$88</f>
        <v>0.28593397759642103</v>
      </c>
      <c r="AA64" s="44">
        <v>2024</v>
      </c>
    </row>
    <row r="65" spans="2:27" x14ac:dyDescent="0.25">
      <c r="B65" s="116" t="s">
        <v>4</v>
      </c>
      <c r="C65" s="127">
        <v>45658</v>
      </c>
      <c r="D65" s="36">
        <f t="shared" si="2"/>
        <v>56</v>
      </c>
      <c r="E65" s="94">
        <f t="shared" si="20"/>
        <v>44</v>
      </c>
      <c r="F65" s="96">
        <f t="shared" si="22"/>
        <v>39</v>
      </c>
      <c r="G65" s="339"/>
      <c r="H65" s="340"/>
      <c r="I65" s="318">
        <f t="shared" si="17"/>
        <v>3393.75</v>
      </c>
      <c r="J65" s="79">
        <v>13575</v>
      </c>
      <c r="K65" s="57">
        <f t="shared" si="23"/>
        <v>474000</v>
      </c>
      <c r="M65" s="339"/>
      <c r="N65" s="340"/>
      <c r="O65" s="318">
        <f t="shared" si="21"/>
        <v>15</v>
      </c>
      <c r="P65" s="79">
        <v>60</v>
      </c>
      <c r="Q65" s="37">
        <f t="shared" si="24"/>
        <v>2280</v>
      </c>
      <c r="S65" s="322">
        <f t="shared" si="25"/>
        <v>0</v>
      </c>
      <c r="T65" s="323">
        <f t="shared" si="26"/>
        <v>0</v>
      </c>
      <c r="U65" s="321">
        <f t="shared" si="27"/>
        <v>3408.75</v>
      </c>
      <c r="V65" s="82">
        <f t="shared" si="28"/>
        <v>13635</v>
      </c>
      <c r="W65" s="37">
        <f t="shared" si="29"/>
        <v>476280</v>
      </c>
      <c r="Y65" s="41">
        <f>(J65+P65)</f>
        <v>13635</v>
      </c>
      <c r="Z65" s="45"/>
      <c r="AA65" s="46"/>
    </row>
    <row r="66" spans="2:27" x14ac:dyDescent="0.25">
      <c r="B66" s="117" t="s">
        <v>12</v>
      </c>
      <c r="C66" s="125">
        <v>45689</v>
      </c>
      <c r="D66" s="12">
        <f t="shared" si="2"/>
        <v>57</v>
      </c>
      <c r="E66" s="92">
        <f t="shared" si="20"/>
        <v>45</v>
      </c>
      <c r="F66" s="53">
        <f t="shared" si="22"/>
        <v>40</v>
      </c>
      <c r="G66" s="335"/>
      <c r="H66" s="336"/>
      <c r="I66" s="22">
        <f t="shared" si="17"/>
        <v>3393.75</v>
      </c>
      <c r="J66" s="77">
        <v>13575</v>
      </c>
      <c r="K66" s="55">
        <f t="shared" si="23"/>
        <v>487575</v>
      </c>
      <c r="M66" s="335"/>
      <c r="N66" s="336"/>
      <c r="O66" s="22">
        <f t="shared" si="21"/>
        <v>15</v>
      </c>
      <c r="P66" s="77">
        <v>60</v>
      </c>
      <c r="Q66" s="35">
        <f t="shared" si="24"/>
        <v>2340</v>
      </c>
      <c r="S66" s="305">
        <f t="shared" si="25"/>
        <v>0</v>
      </c>
      <c r="T66" s="306">
        <f t="shared" si="26"/>
        <v>0</v>
      </c>
      <c r="U66" s="307">
        <f t="shared" si="27"/>
        <v>3408.75</v>
      </c>
      <c r="V66" s="80">
        <f t="shared" si="28"/>
        <v>13635</v>
      </c>
      <c r="W66" s="35">
        <f t="shared" si="29"/>
        <v>489915</v>
      </c>
      <c r="Y66" s="18">
        <f t="shared" si="6"/>
        <v>27270</v>
      </c>
      <c r="Z66" s="47"/>
      <c r="AA66" s="48"/>
    </row>
    <row r="67" spans="2:27" x14ac:dyDescent="0.25">
      <c r="B67" s="117" t="s">
        <v>26</v>
      </c>
      <c r="C67" s="125">
        <v>45717</v>
      </c>
      <c r="D67" s="12">
        <f t="shared" si="2"/>
        <v>58</v>
      </c>
      <c r="E67" s="92">
        <f t="shared" si="20"/>
        <v>46</v>
      </c>
      <c r="F67" s="53">
        <f t="shared" si="22"/>
        <v>41</v>
      </c>
      <c r="G67" s="335"/>
      <c r="H67" s="336"/>
      <c r="I67" s="22">
        <f t="shared" si="17"/>
        <v>3393.75</v>
      </c>
      <c r="J67" s="77">
        <v>13575</v>
      </c>
      <c r="K67" s="55">
        <f t="shared" si="23"/>
        <v>501150</v>
      </c>
      <c r="M67" s="335"/>
      <c r="N67" s="336"/>
      <c r="O67" s="22">
        <f t="shared" si="21"/>
        <v>15</v>
      </c>
      <c r="P67" s="77">
        <v>60</v>
      </c>
      <c r="Q67" s="35">
        <f t="shared" si="24"/>
        <v>2400</v>
      </c>
      <c r="S67" s="305">
        <f t="shared" si="25"/>
        <v>0</v>
      </c>
      <c r="T67" s="306">
        <f t="shared" si="26"/>
        <v>0</v>
      </c>
      <c r="U67" s="307">
        <f t="shared" si="27"/>
        <v>3408.75</v>
      </c>
      <c r="V67" s="80">
        <f t="shared" si="28"/>
        <v>13635</v>
      </c>
      <c r="W67" s="35">
        <f t="shared" si="29"/>
        <v>503550</v>
      </c>
      <c r="Y67" s="18">
        <f t="shared" si="6"/>
        <v>40905</v>
      </c>
      <c r="Z67" s="47"/>
      <c r="AA67" s="48"/>
    </row>
    <row r="68" spans="2:27" x14ac:dyDescent="0.25">
      <c r="B68" s="118"/>
      <c r="C68" s="125">
        <v>45748</v>
      </c>
      <c r="D68" s="12">
        <f t="shared" si="2"/>
        <v>59</v>
      </c>
      <c r="E68" s="92">
        <f t="shared" si="20"/>
        <v>47</v>
      </c>
      <c r="F68" s="53">
        <f t="shared" si="22"/>
        <v>42</v>
      </c>
      <c r="G68" s="335"/>
      <c r="H68" s="336"/>
      <c r="I68" s="22">
        <f t="shared" si="17"/>
        <v>3393.75</v>
      </c>
      <c r="J68" s="77">
        <v>13575</v>
      </c>
      <c r="K68" s="55">
        <f t="shared" si="23"/>
        <v>514725</v>
      </c>
      <c r="M68" s="335"/>
      <c r="N68" s="336"/>
      <c r="O68" s="22">
        <f t="shared" si="21"/>
        <v>15</v>
      </c>
      <c r="P68" s="77">
        <v>60</v>
      </c>
      <c r="Q68" s="35">
        <f t="shared" si="24"/>
        <v>2460</v>
      </c>
      <c r="S68" s="305">
        <f t="shared" si="25"/>
        <v>0</v>
      </c>
      <c r="T68" s="306">
        <f t="shared" si="26"/>
        <v>0</v>
      </c>
      <c r="U68" s="307">
        <f t="shared" si="27"/>
        <v>3408.75</v>
      </c>
      <c r="V68" s="80">
        <f t="shared" si="28"/>
        <v>13635</v>
      </c>
      <c r="W68" s="35">
        <f t="shared" si="29"/>
        <v>517185</v>
      </c>
      <c r="Y68" s="18">
        <f t="shared" si="6"/>
        <v>54540</v>
      </c>
      <c r="Z68" s="49"/>
      <c r="AA68" s="48"/>
    </row>
    <row r="69" spans="2:27" x14ac:dyDescent="0.25">
      <c r="B69" s="118"/>
      <c r="C69" s="125">
        <v>45778</v>
      </c>
      <c r="D69" s="12">
        <f t="shared" si="2"/>
        <v>60</v>
      </c>
      <c r="E69" s="92">
        <f t="shared" si="20"/>
        <v>48</v>
      </c>
      <c r="F69" s="53">
        <f t="shared" si="22"/>
        <v>43</v>
      </c>
      <c r="G69" s="335"/>
      <c r="H69" s="336"/>
      <c r="I69" s="22">
        <f t="shared" si="17"/>
        <v>3393.75</v>
      </c>
      <c r="J69" s="77">
        <v>13575</v>
      </c>
      <c r="K69" s="55">
        <f t="shared" si="23"/>
        <v>528300</v>
      </c>
      <c r="M69" s="335"/>
      <c r="N69" s="336"/>
      <c r="O69" s="22">
        <f t="shared" si="21"/>
        <v>15</v>
      </c>
      <c r="P69" s="77">
        <v>60</v>
      </c>
      <c r="Q69" s="35">
        <f t="shared" si="24"/>
        <v>2520</v>
      </c>
      <c r="S69" s="305">
        <f t="shared" si="25"/>
        <v>0</v>
      </c>
      <c r="T69" s="306">
        <f t="shared" si="26"/>
        <v>0</v>
      </c>
      <c r="U69" s="307">
        <f t="shared" si="27"/>
        <v>3408.75</v>
      </c>
      <c r="V69" s="80">
        <f t="shared" si="28"/>
        <v>13635</v>
      </c>
      <c r="W69" s="35">
        <f t="shared" si="29"/>
        <v>530820</v>
      </c>
      <c r="Y69" s="18">
        <f t="shared" si="6"/>
        <v>68175</v>
      </c>
      <c r="Z69" s="47"/>
      <c r="AA69" s="48"/>
    </row>
    <row r="70" spans="2:27" x14ac:dyDescent="0.25">
      <c r="B70" s="117"/>
      <c r="C70" s="125">
        <v>45809</v>
      </c>
      <c r="D70" s="12">
        <f t="shared" si="2"/>
        <v>61</v>
      </c>
      <c r="E70" s="92">
        <f t="shared" si="20"/>
        <v>49</v>
      </c>
      <c r="F70" s="53">
        <f t="shared" si="22"/>
        <v>44</v>
      </c>
      <c r="G70" s="335"/>
      <c r="H70" s="336"/>
      <c r="I70" s="22">
        <f t="shared" si="17"/>
        <v>3393.75</v>
      </c>
      <c r="J70" s="77">
        <v>13575</v>
      </c>
      <c r="K70" s="55">
        <f t="shared" si="23"/>
        <v>541875</v>
      </c>
      <c r="M70" s="335"/>
      <c r="N70" s="336"/>
      <c r="O70" s="22">
        <f t="shared" si="21"/>
        <v>15</v>
      </c>
      <c r="P70" s="77">
        <v>60</v>
      </c>
      <c r="Q70" s="35">
        <f t="shared" si="24"/>
        <v>2580</v>
      </c>
      <c r="S70" s="305">
        <f t="shared" si="25"/>
        <v>0</v>
      </c>
      <c r="T70" s="306">
        <f t="shared" si="26"/>
        <v>0</v>
      </c>
      <c r="U70" s="307">
        <f t="shared" si="27"/>
        <v>3408.75</v>
      </c>
      <c r="V70" s="80">
        <f t="shared" si="28"/>
        <v>13635</v>
      </c>
      <c r="W70" s="35">
        <f t="shared" si="29"/>
        <v>544455</v>
      </c>
      <c r="Y70" s="18">
        <f t="shared" si="6"/>
        <v>81810</v>
      </c>
      <c r="Z70" s="47"/>
      <c r="AA70" s="48"/>
    </row>
    <row r="71" spans="2:27" x14ac:dyDescent="0.25">
      <c r="B71" s="117"/>
      <c r="C71" s="125">
        <v>45839</v>
      </c>
      <c r="D71" s="12">
        <f t="shared" si="2"/>
        <v>62</v>
      </c>
      <c r="E71" s="92">
        <f t="shared" si="20"/>
        <v>50</v>
      </c>
      <c r="F71" s="53">
        <f t="shared" si="22"/>
        <v>45</v>
      </c>
      <c r="G71" s="335"/>
      <c r="H71" s="336"/>
      <c r="I71" s="22">
        <f t="shared" si="17"/>
        <v>3393.75</v>
      </c>
      <c r="J71" s="77">
        <v>13575</v>
      </c>
      <c r="K71" s="55">
        <f t="shared" si="23"/>
        <v>555450</v>
      </c>
      <c r="M71" s="335"/>
      <c r="N71" s="336"/>
      <c r="O71" s="22">
        <f t="shared" si="21"/>
        <v>15</v>
      </c>
      <c r="P71" s="77">
        <v>60</v>
      </c>
      <c r="Q71" s="35">
        <f t="shared" si="24"/>
        <v>2640</v>
      </c>
      <c r="S71" s="305">
        <f t="shared" si="25"/>
        <v>0</v>
      </c>
      <c r="T71" s="306">
        <f t="shared" si="26"/>
        <v>0</v>
      </c>
      <c r="U71" s="307">
        <f t="shared" si="27"/>
        <v>3408.75</v>
      </c>
      <c r="V71" s="80">
        <f t="shared" si="28"/>
        <v>13635</v>
      </c>
      <c r="W71" s="35">
        <f t="shared" si="29"/>
        <v>558090</v>
      </c>
      <c r="Y71" s="18">
        <f t="shared" si="6"/>
        <v>95445</v>
      </c>
      <c r="Z71" s="47"/>
      <c r="AA71" s="48"/>
    </row>
    <row r="72" spans="2:27" x14ac:dyDescent="0.25">
      <c r="B72" s="117"/>
      <c r="C72" s="125">
        <v>45870</v>
      </c>
      <c r="D72" s="12">
        <f t="shared" si="2"/>
        <v>63</v>
      </c>
      <c r="E72" s="92">
        <f t="shared" si="20"/>
        <v>51</v>
      </c>
      <c r="F72" s="53">
        <f t="shared" si="22"/>
        <v>46</v>
      </c>
      <c r="G72" s="335"/>
      <c r="H72" s="336"/>
      <c r="I72" s="22">
        <f t="shared" si="17"/>
        <v>1825</v>
      </c>
      <c r="J72" s="77">
        <v>7300</v>
      </c>
      <c r="K72" s="55">
        <f t="shared" si="23"/>
        <v>562750</v>
      </c>
      <c r="M72" s="335"/>
      <c r="N72" s="336"/>
      <c r="O72" s="22">
        <f t="shared" si="21"/>
        <v>10</v>
      </c>
      <c r="P72" s="77">
        <v>40</v>
      </c>
      <c r="Q72" s="35">
        <f t="shared" si="24"/>
        <v>2680</v>
      </c>
      <c r="S72" s="305">
        <f t="shared" si="25"/>
        <v>0</v>
      </c>
      <c r="T72" s="306">
        <f t="shared" si="26"/>
        <v>0</v>
      </c>
      <c r="U72" s="307">
        <f t="shared" si="27"/>
        <v>1835</v>
      </c>
      <c r="V72" s="80">
        <f t="shared" si="28"/>
        <v>7340</v>
      </c>
      <c r="W72" s="35">
        <f t="shared" si="29"/>
        <v>565430</v>
      </c>
      <c r="Y72" s="18">
        <f t="shared" si="6"/>
        <v>102785</v>
      </c>
      <c r="Z72" s="47"/>
      <c r="AA72" s="48"/>
    </row>
    <row r="73" spans="2:27" x14ac:dyDescent="0.25">
      <c r="B73" s="118"/>
      <c r="C73" s="125">
        <v>45901</v>
      </c>
      <c r="D73" s="12">
        <f t="shared" si="2"/>
        <v>64</v>
      </c>
      <c r="E73" s="92">
        <f t="shared" si="20"/>
        <v>52</v>
      </c>
      <c r="F73" s="53">
        <f t="shared" si="22"/>
        <v>47</v>
      </c>
      <c r="G73" s="335"/>
      <c r="H73" s="336"/>
      <c r="I73" s="22">
        <f t="shared" si="17"/>
        <v>1125</v>
      </c>
      <c r="J73" s="77">
        <v>4500</v>
      </c>
      <c r="K73" s="55">
        <f t="shared" si="23"/>
        <v>567250</v>
      </c>
      <c r="M73" s="335"/>
      <c r="N73" s="336"/>
      <c r="O73" s="22">
        <f t="shared" si="21"/>
        <v>7.5</v>
      </c>
      <c r="P73" s="77">
        <v>30</v>
      </c>
      <c r="Q73" s="35">
        <f t="shared" si="24"/>
        <v>2710</v>
      </c>
      <c r="S73" s="305">
        <f t="shared" si="25"/>
        <v>0</v>
      </c>
      <c r="T73" s="306">
        <f t="shared" si="26"/>
        <v>0</v>
      </c>
      <c r="U73" s="307">
        <f t="shared" si="27"/>
        <v>1132.5</v>
      </c>
      <c r="V73" s="80">
        <f t="shared" si="28"/>
        <v>4530</v>
      </c>
      <c r="W73" s="35">
        <f t="shared" si="29"/>
        <v>569960</v>
      </c>
      <c r="Y73" s="18">
        <f t="shared" si="6"/>
        <v>107315</v>
      </c>
      <c r="Z73" s="47"/>
      <c r="AA73" s="48"/>
    </row>
    <row r="74" spans="2:27" x14ac:dyDescent="0.25">
      <c r="B74" s="118"/>
      <c r="C74" s="125">
        <v>45931</v>
      </c>
      <c r="D74" s="12">
        <f t="shared" si="2"/>
        <v>65</v>
      </c>
      <c r="E74" s="92">
        <f t="shared" si="20"/>
        <v>53</v>
      </c>
      <c r="F74" s="53">
        <f t="shared" si="22"/>
        <v>48</v>
      </c>
      <c r="G74" s="335"/>
      <c r="H74" s="336"/>
      <c r="I74" s="22">
        <f t="shared" si="17"/>
        <v>562.5</v>
      </c>
      <c r="J74" s="77">
        <v>2250</v>
      </c>
      <c r="K74" s="122">
        <f t="shared" si="23"/>
        <v>569500</v>
      </c>
      <c r="M74" s="335"/>
      <c r="N74" s="336"/>
      <c r="O74" s="22">
        <f t="shared" si="21"/>
        <v>5</v>
      </c>
      <c r="P74" s="77">
        <v>20</v>
      </c>
      <c r="Q74" s="123">
        <f t="shared" si="24"/>
        <v>2730</v>
      </c>
      <c r="S74" s="305">
        <f t="shared" si="25"/>
        <v>0</v>
      </c>
      <c r="T74" s="306">
        <f t="shared" si="26"/>
        <v>0</v>
      </c>
      <c r="U74" s="307">
        <f t="shared" si="27"/>
        <v>567.5</v>
      </c>
      <c r="V74" s="80">
        <f t="shared" si="28"/>
        <v>2270</v>
      </c>
      <c r="W74" s="123">
        <f t="shared" si="29"/>
        <v>572230</v>
      </c>
      <c r="Y74" s="18">
        <f t="shared" si="6"/>
        <v>109585</v>
      </c>
      <c r="Z74" s="49"/>
      <c r="AA74" s="48"/>
    </row>
    <row r="75" spans="2:27" x14ac:dyDescent="0.25">
      <c r="B75" s="117"/>
      <c r="C75" s="125">
        <v>45962</v>
      </c>
      <c r="D75" s="12">
        <f t="shared" si="2"/>
        <v>66</v>
      </c>
      <c r="E75" s="92">
        <f t="shared" si="20"/>
        <v>54</v>
      </c>
      <c r="F75" s="50"/>
      <c r="G75" s="308"/>
      <c r="H75" s="19"/>
      <c r="I75" s="22">
        <f t="shared" si="17"/>
        <v>0</v>
      </c>
      <c r="J75" s="77">
        <v>0</v>
      </c>
      <c r="K75" s="55">
        <f t="shared" si="23"/>
        <v>569500</v>
      </c>
      <c r="M75" s="308"/>
      <c r="N75" s="19"/>
      <c r="O75" s="22">
        <f t="shared" si="21"/>
        <v>0</v>
      </c>
      <c r="P75" s="77">
        <v>0</v>
      </c>
      <c r="Q75" s="35">
        <f t="shared" si="24"/>
        <v>2730</v>
      </c>
      <c r="S75" s="305">
        <f t="shared" si="25"/>
        <v>0</v>
      </c>
      <c r="T75" s="306">
        <f t="shared" si="26"/>
        <v>0</v>
      </c>
      <c r="U75" s="307">
        <f t="shared" si="27"/>
        <v>0</v>
      </c>
      <c r="V75" s="80">
        <f t="shared" si="28"/>
        <v>0</v>
      </c>
      <c r="W75" s="35">
        <f t="shared" si="29"/>
        <v>572230</v>
      </c>
      <c r="Y75" s="18">
        <f t="shared" si="6"/>
        <v>109585</v>
      </c>
      <c r="Z75" s="47"/>
      <c r="AA75" s="48"/>
    </row>
    <row r="76" spans="2:27" ht="15.75" thickBot="1" x14ac:dyDescent="0.3">
      <c r="B76" s="119"/>
      <c r="C76" s="126">
        <v>45992</v>
      </c>
      <c r="D76" s="13">
        <f t="shared" ref="D76:D88" si="30">1+D75</f>
        <v>67</v>
      </c>
      <c r="E76" s="93">
        <f t="shared" si="20"/>
        <v>55</v>
      </c>
      <c r="F76" s="51"/>
      <c r="G76" s="309"/>
      <c r="H76" s="39"/>
      <c r="I76" s="310">
        <f t="shared" si="17"/>
        <v>0</v>
      </c>
      <c r="J76" s="78">
        <v>0</v>
      </c>
      <c r="K76" s="56">
        <f t="shared" si="23"/>
        <v>569500</v>
      </c>
      <c r="M76" s="309"/>
      <c r="N76" s="39"/>
      <c r="O76" s="310">
        <f t="shared" si="21"/>
        <v>0</v>
      </c>
      <c r="P76" s="78">
        <v>0</v>
      </c>
      <c r="Q76" s="38">
        <f t="shared" si="24"/>
        <v>2730</v>
      </c>
      <c r="S76" s="314">
        <f t="shared" si="25"/>
        <v>0</v>
      </c>
      <c r="T76" s="315">
        <f t="shared" si="26"/>
        <v>0</v>
      </c>
      <c r="U76" s="313">
        <f t="shared" si="27"/>
        <v>0</v>
      </c>
      <c r="V76" s="81">
        <f t="shared" si="28"/>
        <v>0</v>
      </c>
      <c r="W76" s="38">
        <f t="shared" si="29"/>
        <v>572230</v>
      </c>
      <c r="Y76" s="42">
        <f t="shared" ref="Y76:Y79" si="31">(J76+P76)+Y75</f>
        <v>109585</v>
      </c>
      <c r="Z76" s="43">
        <f>Y76/$W$88</f>
        <v>0.19150516400747952</v>
      </c>
      <c r="AA76" s="44">
        <v>2025</v>
      </c>
    </row>
    <row r="77" spans="2:27" x14ac:dyDescent="0.25">
      <c r="B77" s="116" t="s">
        <v>4</v>
      </c>
      <c r="C77" s="127">
        <v>46023</v>
      </c>
      <c r="D77" s="36">
        <f t="shared" si="30"/>
        <v>68</v>
      </c>
      <c r="E77" s="94">
        <f t="shared" si="20"/>
        <v>56</v>
      </c>
      <c r="F77" s="52"/>
      <c r="G77" s="316"/>
      <c r="H77" s="317"/>
      <c r="I77" s="318">
        <f t="shared" si="17"/>
        <v>0</v>
      </c>
      <c r="J77" s="79">
        <v>0</v>
      </c>
      <c r="K77" s="57">
        <f t="shared" si="23"/>
        <v>569500</v>
      </c>
      <c r="M77" s="316"/>
      <c r="N77" s="317"/>
      <c r="O77" s="318">
        <f t="shared" si="21"/>
        <v>0</v>
      </c>
      <c r="P77" s="79">
        <v>0</v>
      </c>
      <c r="Q77" s="37">
        <f t="shared" si="24"/>
        <v>2730</v>
      </c>
      <c r="S77" s="322">
        <f t="shared" si="25"/>
        <v>0</v>
      </c>
      <c r="T77" s="323">
        <f t="shared" si="26"/>
        <v>0</v>
      </c>
      <c r="U77" s="321">
        <f t="shared" si="27"/>
        <v>0</v>
      </c>
      <c r="V77" s="82">
        <f t="shared" si="28"/>
        <v>0</v>
      </c>
      <c r="W77" s="37">
        <f t="shared" si="29"/>
        <v>572230</v>
      </c>
      <c r="Y77" s="41">
        <f>(J77+P77)</f>
        <v>0</v>
      </c>
      <c r="Z77" s="45"/>
      <c r="AA77" s="46"/>
    </row>
    <row r="78" spans="2:27" x14ac:dyDescent="0.25">
      <c r="B78" s="117" t="s">
        <v>12</v>
      </c>
      <c r="C78" s="125">
        <v>46054</v>
      </c>
      <c r="D78" s="12">
        <f t="shared" si="30"/>
        <v>69</v>
      </c>
      <c r="E78" s="92">
        <f t="shared" si="20"/>
        <v>57</v>
      </c>
      <c r="F78" s="50"/>
      <c r="G78" s="308"/>
      <c r="H78" s="19"/>
      <c r="I78" s="22">
        <f t="shared" si="17"/>
        <v>0</v>
      </c>
      <c r="J78" s="77">
        <v>0</v>
      </c>
      <c r="K78" s="55">
        <f t="shared" si="23"/>
        <v>569500</v>
      </c>
      <c r="M78" s="308"/>
      <c r="N78" s="19"/>
      <c r="O78" s="22">
        <f t="shared" si="21"/>
        <v>0</v>
      </c>
      <c r="P78" s="77">
        <v>0</v>
      </c>
      <c r="Q78" s="35">
        <f t="shared" si="24"/>
        <v>2730</v>
      </c>
      <c r="S78" s="305">
        <f t="shared" si="25"/>
        <v>0</v>
      </c>
      <c r="T78" s="306">
        <f t="shared" si="26"/>
        <v>0</v>
      </c>
      <c r="U78" s="307">
        <f t="shared" si="27"/>
        <v>0</v>
      </c>
      <c r="V78" s="80">
        <f t="shared" si="28"/>
        <v>0</v>
      </c>
      <c r="W78" s="35">
        <f t="shared" si="29"/>
        <v>572230</v>
      </c>
      <c r="Y78" s="18">
        <f t="shared" si="31"/>
        <v>0</v>
      </c>
      <c r="Z78" s="47"/>
      <c r="AA78" s="48"/>
    </row>
    <row r="79" spans="2:27" x14ac:dyDescent="0.25">
      <c r="B79" s="117" t="s">
        <v>26</v>
      </c>
      <c r="C79" s="125">
        <v>46082</v>
      </c>
      <c r="D79" s="12">
        <f t="shared" si="30"/>
        <v>70</v>
      </c>
      <c r="E79" s="92">
        <f t="shared" si="20"/>
        <v>58</v>
      </c>
      <c r="F79" s="50"/>
      <c r="G79" s="308"/>
      <c r="H79" s="19"/>
      <c r="I79" s="22">
        <f t="shared" si="17"/>
        <v>0</v>
      </c>
      <c r="J79" s="77">
        <v>0</v>
      </c>
      <c r="K79" s="55">
        <f t="shared" si="23"/>
        <v>569500</v>
      </c>
      <c r="M79" s="308"/>
      <c r="N79" s="19"/>
      <c r="O79" s="22">
        <f t="shared" si="21"/>
        <v>0</v>
      </c>
      <c r="P79" s="83">
        <v>0</v>
      </c>
      <c r="Q79" s="35">
        <f t="shared" si="24"/>
        <v>2730</v>
      </c>
      <c r="S79" s="305">
        <f t="shared" si="25"/>
        <v>0</v>
      </c>
      <c r="T79" s="306">
        <f t="shared" si="26"/>
        <v>0</v>
      </c>
      <c r="U79" s="307">
        <f t="shared" si="27"/>
        <v>0</v>
      </c>
      <c r="V79" s="80">
        <f t="shared" si="28"/>
        <v>0</v>
      </c>
      <c r="W79" s="35">
        <f t="shared" si="29"/>
        <v>572230</v>
      </c>
      <c r="Y79" s="18">
        <f t="shared" si="31"/>
        <v>0</v>
      </c>
      <c r="Z79" s="47"/>
      <c r="AA79" s="48"/>
    </row>
    <row r="80" spans="2:27" x14ac:dyDescent="0.25">
      <c r="B80" s="130"/>
      <c r="C80" s="125">
        <v>46113</v>
      </c>
      <c r="D80" s="12">
        <f t="shared" si="30"/>
        <v>71</v>
      </c>
      <c r="E80" s="19"/>
      <c r="F80" s="50"/>
      <c r="G80" s="308"/>
      <c r="H80" s="19"/>
      <c r="I80" s="75"/>
      <c r="J80" s="75"/>
      <c r="K80" s="55">
        <f t="shared" si="23"/>
        <v>569500</v>
      </c>
      <c r="M80" s="131"/>
      <c r="N80" s="19"/>
      <c r="O80" s="75"/>
      <c r="P80" s="324"/>
      <c r="Q80" s="35">
        <f t="shared" si="24"/>
        <v>2730</v>
      </c>
      <c r="S80" s="325"/>
      <c r="T80" s="326"/>
      <c r="U80" s="327"/>
      <c r="V80" s="327"/>
      <c r="W80" s="35">
        <f t="shared" si="29"/>
        <v>572230</v>
      </c>
      <c r="Y80" s="84"/>
      <c r="Z80" s="49"/>
      <c r="AA80" s="48"/>
    </row>
    <row r="81" spans="2:27" x14ac:dyDescent="0.25">
      <c r="B81" s="130"/>
      <c r="C81" s="125">
        <v>46143</v>
      </c>
      <c r="D81" s="12">
        <f t="shared" si="30"/>
        <v>72</v>
      </c>
      <c r="E81" s="19"/>
      <c r="F81" s="50"/>
      <c r="G81" s="308"/>
      <c r="H81" s="19"/>
      <c r="I81" s="75"/>
      <c r="J81" s="75"/>
      <c r="K81" s="55">
        <f t="shared" si="23"/>
        <v>569500</v>
      </c>
      <c r="M81" s="131"/>
      <c r="N81" s="19"/>
      <c r="O81" s="75"/>
      <c r="P81" s="324"/>
      <c r="Q81" s="35">
        <f t="shared" si="24"/>
        <v>2730</v>
      </c>
      <c r="S81" s="325"/>
      <c r="T81" s="326"/>
      <c r="U81" s="327"/>
      <c r="V81" s="327"/>
      <c r="W81" s="35">
        <f t="shared" si="29"/>
        <v>572230</v>
      </c>
      <c r="Y81" s="84"/>
      <c r="Z81" s="47"/>
      <c r="AA81" s="48"/>
    </row>
    <row r="82" spans="2:27" x14ac:dyDescent="0.25">
      <c r="B82" s="131"/>
      <c r="C82" s="125">
        <v>46174</v>
      </c>
      <c r="D82" s="12">
        <f t="shared" si="30"/>
        <v>73</v>
      </c>
      <c r="E82" s="19"/>
      <c r="F82" s="50"/>
      <c r="G82" s="308"/>
      <c r="H82" s="19"/>
      <c r="I82" s="75"/>
      <c r="J82" s="75"/>
      <c r="K82" s="55">
        <f t="shared" si="23"/>
        <v>569500</v>
      </c>
      <c r="M82" s="131"/>
      <c r="N82" s="19"/>
      <c r="O82" s="75"/>
      <c r="P82" s="324"/>
      <c r="Q82" s="35">
        <f t="shared" si="24"/>
        <v>2730</v>
      </c>
      <c r="S82" s="325"/>
      <c r="T82" s="326"/>
      <c r="U82" s="327"/>
      <c r="V82" s="327"/>
      <c r="W82" s="35">
        <f t="shared" si="29"/>
        <v>572230</v>
      </c>
      <c r="Y82" s="84"/>
      <c r="Z82" s="47"/>
      <c r="AA82" s="48"/>
    </row>
    <row r="83" spans="2:27" x14ac:dyDescent="0.25">
      <c r="B83" s="131"/>
      <c r="C83" s="125">
        <v>46204</v>
      </c>
      <c r="D83" s="12">
        <f t="shared" si="30"/>
        <v>74</v>
      </c>
      <c r="E83" s="19"/>
      <c r="F83" s="50"/>
      <c r="G83" s="308"/>
      <c r="H83" s="19"/>
      <c r="I83" s="75"/>
      <c r="J83" s="75"/>
      <c r="K83" s="55">
        <f t="shared" si="23"/>
        <v>569500</v>
      </c>
      <c r="M83" s="131"/>
      <c r="N83" s="19"/>
      <c r="O83" s="75"/>
      <c r="P83" s="324"/>
      <c r="Q83" s="35">
        <f t="shared" si="24"/>
        <v>2730</v>
      </c>
      <c r="S83" s="325"/>
      <c r="T83" s="326"/>
      <c r="U83" s="327"/>
      <c r="V83" s="327"/>
      <c r="W83" s="35">
        <f t="shared" si="29"/>
        <v>572230</v>
      </c>
      <c r="Y83" s="84"/>
      <c r="Z83" s="47"/>
      <c r="AA83" s="48"/>
    </row>
    <row r="84" spans="2:27" x14ac:dyDescent="0.25">
      <c r="B84" s="131"/>
      <c r="C84" s="125">
        <v>46235</v>
      </c>
      <c r="D84" s="12">
        <f t="shared" si="30"/>
        <v>75</v>
      </c>
      <c r="E84" s="19"/>
      <c r="F84" s="50"/>
      <c r="G84" s="308"/>
      <c r="H84" s="19"/>
      <c r="I84" s="75"/>
      <c r="J84" s="75"/>
      <c r="K84" s="55">
        <f t="shared" si="23"/>
        <v>569500</v>
      </c>
      <c r="M84" s="131"/>
      <c r="N84" s="19"/>
      <c r="O84" s="75"/>
      <c r="P84" s="324"/>
      <c r="Q84" s="35">
        <f t="shared" si="24"/>
        <v>2730</v>
      </c>
      <c r="S84" s="325"/>
      <c r="T84" s="326"/>
      <c r="U84" s="327"/>
      <c r="V84" s="327"/>
      <c r="W84" s="35">
        <f t="shared" si="29"/>
        <v>572230</v>
      </c>
      <c r="Y84" s="84"/>
      <c r="Z84" s="47"/>
      <c r="AA84" s="48"/>
    </row>
    <row r="85" spans="2:27" x14ac:dyDescent="0.25">
      <c r="B85" s="130"/>
      <c r="C85" s="125">
        <v>46266</v>
      </c>
      <c r="D85" s="12">
        <f t="shared" si="30"/>
        <v>76</v>
      </c>
      <c r="E85" s="19"/>
      <c r="F85" s="50"/>
      <c r="G85" s="308"/>
      <c r="H85" s="19"/>
      <c r="I85" s="75"/>
      <c r="J85" s="75"/>
      <c r="K85" s="55">
        <f t="shared" si="23"/>
        <v>569500</v>
      </c>
      <c r="M85" s="131"/>
      <c r="N85" s="19"/>
      <c r="O85" s="75"/>
      <c r="P85" s="324"/>
      <c r="Q85" s="35">
        <f t="shared" si="24"/>
        <v>2730</v>
      </c>
      <c r="S85" s="325"/>
      <c r="T85" s="326"/>
      <c r="U85" s="327"/>
      <c r="V85" s="327"/>
      <c r="W85" s="35">
        <f t="shared" si="29"/>
        <v>572230</v>
      </c>
      <c r="Y85" s="84"/>
      <c r="Z85" s="47"/>
      <c r="AA85" s="48"/>
    </row>
    <row r="86" spans="2:27" x14ac:dyDescent="0.25">
      <c r="B86" s="130"/>
      <c r="C86" s="125">
        <v>46296</v>
      </c>
      <c r="D86" s="12">
        <f t="shared" si="30"/>
        <v>77</v>
      </c>
      <c r="E86" s="19"/>
      <c r="F86" s="50"/>
      <c r="G86" s="308"/>
      <c r="H86" s="19"/>
      <c r="I86" s="75"/>
      <c r="J86" s="75"/>
      <c r="K86" s="55">
        <f t="shared" si="23"/>
        <v>569500</v>
      </c>
      <c r="M86" s="131"/>
      <c r="N86" s="19"/>
      <c r="O86" s="75"/>
      <c r="P86" s="324"/>
      <c r="Q86" s="35">
        <f t="shared" si="24"/>
        <v>2730</v>
      </c>
      <c r="S86" s="325"/>
      <c r="T86" s="326"/>
      <c r="U86" s="327"/>
      <c r="V86" s="327"/>
      <c r="W86" s="35">
        <f t="shared" si="29"/>
        <v>572230</v>
      </c>
      <c r="Y86" s="84"/>
      <c r="Z86" s="49"/>
      <c r="AA86" s="48"/>
    </row>
    <row r="87" spans="2:27" x14ac:dyDescent="0.25">
      <c r="B87" s="131"/>
      <c r="C87" s="125">
        <v>46327</v>
      </c>
      <c r="D87" s="12">
        <f t="shared" si="30"/>
        <v>78</v>
      </c>
      <c r="E87" s="19"/>
      <c r="F87" s="50"/>
      <c r="G87" s="308"/>
      <c r="H87" s="19"/>
      <c r="I87" s="75"/>
      <c r="J87" s="75"/>
      <c r="K87" s="55">
        <f t="shared" si="23"/>
        <v>569500</v>
      </c>
      <c r="M87" s="131"/>
      <c r="N87" s="19"/>
      <c r="O87" s="75"/>
      <c r="P87" s="324"/>
      <c r="Q87" s="35">
        <f t="shared" si="24"/>
        <v>2730</v>
      </c>
      <c r="S87" s="325"/>
      <c r="T87" s="326"/>
      <c r="U87" s="327"/>
      <c r="V87" s="327"/>
      <c r="W87" s="35">
        <f t="shared" si="29"/>
        <v>572230</v>
      </c>
      <c r="Y87" s="84"/>
      <c r="Z87" s="47"/>
      <c r="AA87" s="48"/>
    </row>
    <row r="88" spans="2:27" ht="15.75" thickBot="1" x14ac:dyDescent="0.3">
      <c r="B88" s="132"/>
      <c r="C88" s="126">
        <v>46357</v>
      </c>
      <c r="D88" s="13">
        <f t="shared" si="30"/>
        <v>79</v>
      </c>
      <c r="E88" s="39"/>
      <c r="F88" s="51"/>
      <c r="G88" s="309"/>
      <c r="H88" s="39"/>
      <c r="I88" s="76"/>
      <c r="J88" s="76"/>
      <c r="K88" s="56">
        <f t="shared" si="23"/>
        <v>569500</v>
      </c>
      <c r="M88" s="132"/>
      <c r="N88" s="39"/>
      <c r="O88" s="76"/>
      <c r="P88" s="328"/>
      <c r="Q88" s="38">
        <f t="shared" si="24"/>
        <v>2730</v>
      </c>
      <c r="S88" s="329"/>
      <c r="T88" s="330"/>
      <c r="U88" s="331"/>
      <c r="V88" s="331"/>
      <c r="W88" s="38">
        <f t="shared" si="29"/>
        <v>572230</v>
      </c>
      <c r="Y88" s="85"/>
      <c r="Z88" s="43"/>
      <c r="AA88" s="44"/>
    </row>
    <row r="89" spans="2:27" x14ac:dyDescent="0.25">
      <c r="G89" s="236" t="s">
        <v>120</v>
      </c>
      <c r="N89" s="236" t="s">
        <v>121</v>
      </c>
      <c r="Y89" s="16">
        <f>Y16+Y28+Y40+Y52+Y64+Y76</f>
        <v>572230</v>
      </c>
    </row>
    <row r="90" spans="2:27" x14ac:dyDescent="0.25">
      <c r="G90" s="236" t="s">
        <v>119</v>
      </c>
    </row>
  </sheetData>
  <pageMargins left="0.2" right="0.2" top="0.5" bottom="0.5" header="0.3" footer="0.3"/>
  <pageSetup paperSize="5" scale="65" fitToHeight="2" orientation="landscape" horizontalDpi="300" verticalDpi="300" r:id="rId1"/>
  <headerFooter>
    <oddFooter>&amp;L&amp;Z&amp;F&amp;R&amp;A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"/>
  <sheetViews>
    <sheetView workbookViewId="0">
      <selection activeCell="O37" sqref="O37"/>
    </sheetView>
  </sheetViews>
  <sheetFormatPr defaultRowHeight="15" x14ac:dyDescent="0.25"/>
  <cols>
    <col min="1" max="1" width="3.5703125" customWidth="1"/>
    <col min="12" max="12" width="7.5703125" customWidth="1"/>
    <col min="13" max="13" width="4" customWidth="1"/>
  </cols>
  <sheetData>
    <row r="1" spans="2:2" ht="23.25" x14ac:dyDescent="0.35">
      <c r="B1" s="257" t="s">
        <v>109</v>
      </c>
    </row>
  </sheetData>
  <pageMargins left="0.7" right="0.7" top="0.75" bottom="0.75" header="0.3" footer="0.3"/>
  <pageSetup scale="86" orientation="portrait" r:id="rId1"/>
  <headerFooter>
    <oddFooter>&amp;L&amp;Z&amp;F&amp;R&amp;A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 MTR Counts, Size-Age-OPTIONS</vt:lpstr>
      <vt:lpstr>2. Meter Install Forecast-Est's</vt:lpstr>
      <vt:lpstr>3. Pilot+48 Mo FSWD Deploy Plan</vt:lpstr>
      <vt:lpstr>4. Pilot + 48 Mo. FSWD Graphs</vt:lpstr>
      <vt:lpstr>'2. Meter Install Forecast-Est''s'!Print_Area</vt:lpstr>
      <vt:lpstr>'4. Pilot + 48 Mo. FSWD Graphs'!Print_Area</vt:lpstr>
      <vt:lpstr>'1. MTR Counts, Size-Age-OPTIONS'!Print_Titles</vt:lpstr>
      <vt:lpstr>'3. Pilot+48 Mo FSWD Deploy Plan'!Print_Titles</vt:lpstr>
    </vt:vector>
  </TitlesOfParts>
  <Company>Enspiria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mmichaels</dc:creator>
  <cp:lastModifiedBy>Diana Woltersdorf L</cp:lastModifiedBy>
  <cp:lastPrinted>2019-11-21T05:04:24Z</cp:lastPrinted>
  <dcterms:created xsi:type="dcterms:W3CDTF">2010-03-17T01:38:26Z</dcterms:created>
  <dcterms:modified xsi:type="dcterms:W3CDTF">2019-11-21T13:53:42Z</dcterms:modified>
</cp:coreProperties>
</file>